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32" windowWidth="20100" windowHeight="7872"/>
  </bookViews>
  <sheets>
    <sheet name="Info" sheetId="9" r:id="rId1"/>
    <sheet name="EEA data" sheetId="1" r:id="rId2"/>
    <sheet name="Helsinki-Vantaa" sheetId="8" r:id="rId3"/>
    <sheet name="Altistus" sheetId="2" r:id="rId4"/>
    <sheet name="HA" sheetId="3" r:id="rId5"/>
    <sheet name="HSD" sheetId="4" r:id="rId6"/>
    <sheet name="IHD" sheetId="5" r:id="rId7"/>
    <sheet name="Tautitaakka" sheetId="6" r:id="rId8"/>
  </sheets>
  <calcPr calcId="145621"/>
</workbook>
</file>

<file path=xl/calcChain.xml><?xml version="1.0" encoding="utf-8"?>
<calcChain xmlns="http://schemas.openxmlformats.org/spreadsheetml/2006/main">
  <c r="O20" i="3" l="1"/>
  <c r="Q18" i="5"/>
  <c r="P18" i="5"/>
  <c r="C33" i="5"/>
  <c r="I16" i="3" l="1"/>
  <c r="E9" i="3"/>
  <c r="E8" i="3"/>
  <c r="B33" i="8"/>
  <c r="AA26" i="2" l="1"/>
  <c r="AA25" i="2"/>
  <c r="Z26" i="2"/>
  <c r="Z25" i="2"/>
  <c r="S35" i="2"/>
  <c r="U35" i="2"/>
  <c r="V35" i="2"/>
  <c r="R35" i="2"/>
  <c r="T41" i="2"/>
  <c r="T40" i="2"/>
  <c r="L35" i="2"/>
  <c r="L36" i="2"/>
  <c r="L37" i="2"/>
  <c r="L38" i="2"/>
  <c r="L34" i="2"/>
  <c r="C35" i="2"/>
  <c r="C36" i="2"/>
  <c r="C37" i="2"/>
  <c r="C38" i="2"/>
  <c r="C34" i="2"/>
  <c r="W25" i="2" s="1"/>
  <c r="C29" i="2"/>
  <c r="C30" i="2"/>
  <c r="C31" i="2"/>
  <c r="C32" i="2"/>
  <c r="C28" i="2"/>
  <c r="T25" i="2" s="1"/>
  <c r="L29" i="2"/>
  <c r="L30" i="2"/>
  <c r="L31" i="2"/>
  <c r="L32" i="2"/>
  <c r="L28" i="2"/>
  <c r="T34" i="2" s="1"/>
  <c r="T48" i="2" s="1"/>
  <c r="C47" i="8"/>
  <c r="B47" i="8"/>
  <c r="C46" i="8"/>
  <c r="B46" i="8"/>
  <c r="C45" i="8"/>
  <c r="B45" i="8"/>
  <c r="C44" i="8"/>
  <c r="B44" i="8"/>
  <c r="C43" i="8"/>
  <c r="B43" i="8"/>
  <c r="C38" i="8"/>
  <c r="C37" i="8"/>
  <c r="B37" i="8"/>
  <c r="C33" i="8"/>
  <c r="C32" i="8"/>
  <c r="B32" i="8"/>
  <c r="W34" i="2" l="1"/>
  <c r="W35" i="2"/>
  <c r="AA27" i="2" s="1"/>
  <c r="W39" i="2"/>
  <c r="T35" i="2"/>
  <c r="Z27" i="2" s="1"/>
  <c r="T39" i="2"/>
  <c r="AA28" i="2" l="1"/>
  <c r="Z28" i="2"/>
  <c r="Q34" i="2"/>
  <c r="U48" i="2" s="1"/>
  <c r="Q33" i="2"/>
  <c r="S47" i="2" s="1"/>
  <c r="Q32" i="2"/>
  <c r="U46" i="2" s="1"/>
  <c r="Q31" i="2"/>
  <c r="S45" i="2" s="1"/>
  <c r="Q30" i="2"/>
  <c r="U44" i="2" s="1"/>
  <c r="Q29" i="2"/>
  <c r="R43" i="2" s="1"/>
  <c r="Q28" i="2"/>
  <c r="T42" i="2" s="1"/>
  <c r="Q27" i="2"/>
  <c r="R41" i="2" s="1"/>
  <c r="Q26" i="2"/>
  <c r="Q25" i="2"/>
  <c r="AC26" i="2" l="1"/>
  <c r="AC28" i="2"/>
  <c r="AC25" i="2"/>
  <c r="AC27" i="2"/>
  <c r="AB28" i="2"/>
  <c r="AB25" i="2"/>
  <c r="AB26" i="2"/>
  <c r="AB27" i="2"/>
  <c r="R44" i="2"/>
  <c r="S40" i="2"/>
  <c r="W48" i="2"/>
  <c r="V47" i="2"/>
  <c r="S39" i="2"/>
  <c r="S44" i="2"/>
  <c r="R40" i="2"/>
  <c r="S48" i="2"/>
  <c r="V40" i="2"/>
  <c r="U45" i="2"/>
  <c r="U41" i="2"/>
  <c r="T45" i="2"/>
  <c r="R47" i="2"/>
  <c r="R45" i="2"/>
  <c r="U43" i="2"/>
  <c r="S41" i="2"/>
  <c r="V45" i="2"/>
  <c r="W44" i="2"/>
  <c r="W41" i="2"/>
  <c r="W40" i="2"/>
  <c r="T46" i="2"/>
  <c r="W42" i="2"/>
  <c r="S42" i="2"/>
  <c r="V39" i="2"/>
  <c r="U47" i="2"/>
  <c r="W46" i="2"/>
  <c r="S46" i="2"/>
  <c r="T43" i="2"/>
  <c r="V42" i="2"/>
  <c r="R42" i="2"/>
  <c r="U39" i="2"/>
  <c r="V48" i="2"/>
  <c r="R48" i="2"/>
  <c r="T47" i="2"/>
  <c r="V46" i="2"/>
  <c r="R46" i="2"/>
  <c r="V44" i="2"/>
  <c r="W43" i="2"/>
  <c r="S43" i="2"/>
  <c r="U42" i="2"/>
  <c r="U40" i="2"/>
  <c r="T44" i="2"/>
  <c r="R39" i="2"/>
  <c r="W47" i="2"/>
  <c r="W45" i="2"/>
  <c r="V43" i="2"/>
  <c r="V41" i="2"/>
  <c r="C16" i="5" l="1"/>
  <c r="C15" i="5"/>
  <c r="D7" i="4" l="1"/>
  <c r="F16" i="5" l="1"/>
  <c r="F17" i="5"/>
  <c r="F18" i="5"/>
  <c r="F19" i="5"/>
  <c r="F15" i="5"/>
  <c r="F31" i="5" l="1"/>
  <c r="F30" i="5"/>
  <c r="F32" i="5" l="1"/>
  <c r="F33" i="5" s="1"/>
  <c r="S18" i="5" s="1"/>
  <c r="F20" i="6" s="1"/>
  <c r="S19" i="5" l="1"/>
  <c r="F21" i="6" s="1"/>
  <c r="S21" i="5"/>
  <c r="F23" i="6" s="1"/>
  <c r="S20" i="5"/>
  <c r="F22" i="6" s="1"/>
  <c r="B20" i="6"/>
  <c r="B21" i="6"/>
  <c r="B22" i="6"/>
  <c r="B23" i="6"/>
  <c r="C19" i="6"/>
  <c r="D19" i="6"/>
  <c r="E19" i="6"/>
  <c r="G19" i="6"/>
  <c r="H19" i="6"/>
  <c r="I19" i="6"/>
  <c r="J19" i="6"/>
  <c r="K19" i="6"/>
  <c r="L19" i="6"/>
  <c r="M19" i="6"/>
  <c r="C12" i="6"/>
  <c r="D12" i="6"/>
  <c r="E12" i="6"/>
  <c r="F12" i="6"/>
  <c r="G12" i="6"/>
  <c r="H12" i="6"/>
  <c r="I12" i="6"/>
  <c r="J12" i="6"/>
  <c r="K12" i="6"/>
  <c r="L12" i="6"/>
  <c r="M12" i="6"/>
  <c r="B16" i="6"/>
  <c r="B13" i="6"/>
  <c r="B14" i="6"/>
  <c r="B15" i="6"/>
  <c r="M5" i="6"/>
  <c r="K5" i="6"/>
  <c r="L5" i="6"/>
  <c r="J5" i="6"/>
  <c r="C5" i="6"/>
  <c r="D5" i="6"/>
  <c r="E5" i="6"/>
  <c r="F5" i="6"/>
  <c r="G5" i="6"/>
  <c r="H5" i="6"/>
  <c r="I5" i="6"/>
  <c r="B6" i="6"/>
  <c r="B7" i="6"/>
  <c r="B8" i="6"/>
  <c r="B9" i="6"/>
  <c r="H17" i="5" l="1"/>
  <c r="G15" i="5"/>
  <c r="J15" i="5"/>
  <c r="G16" i="5"/>
  <c r="H16" i="5"/>
  <c r="I16" i="5"/>
  <c r="J16" i="5"/>
  <c r="K16" i="5"/>
  <c r="L16" i="5"/>
  <c r="G17" i="5"/>
  <c r="I17" i="5"/>
  <c r="J17" i="5"/>
  <c r="K17" i="5"/>
  <c r="L17" i="5"/>
  <c r="G18" i="5"/>
  <c r="H18" i="5"/>
  <c r="I18" i="5"/>
  <c r="J18" i="5"/>
  <c r="K18" i="5"/>
  <c r="L18" i="5"/>
  <c r="G19" i="5"/>
  <c r="H19" i="5"/>
  <c r="I19" i="5"/>
  <c r="J19" i="5"/>
  <c r="K19" i="5"/>
  <c r="L19" i="5"/>
  <c r="H15" i="5"/>
  <c r="I15" i="5"/>
  <c r="K15" i="5"/>
  <c r="L15" i="5"/>
  <c r="D16" i="5"/>
  <c r="E16" i="5"/>
  <c r="D17" i="5"/>
  <c r="E17" i="5"/>
  <c r="D18" i="5"/>
  <c r="E18" i="5"/>
  <c r="D19" i="5"/>
  <c r="E19" i="5"/>
  <c r="E15" i="5"/>
  <c r="D15" i="5"/>
  <c r="C17" i="5"/>
  <c r="C18" i="5"/>
  <c r="C19" i="5"/>
  <c r="J31" i="5" l="1"/>
  <c r="G30" i="5"/>
  <c r="C30" i="5"/>
  <c r="C31" i="5"/>
  <c r="I30" i="5"/>
  <c r="D30" i="5"/>
  <c r="D31" i="5"/>
  <c r="I31" i="5"/>
  <c r="E30" i="5"/>
  <c r="E31" i="5"/>
  <c r="H30" i="5"/>
  <c r="H31" i="5"/>
  <c r="J30" i="5"/>
  <c r="L31" i="5"/>
  <c r="L30" i="5"/>
  <c r="G31" i="5"/>
  <c r="K30" i="5"/>
  <c r="K31" i="5"/>
  <c r="P4" i="2"/>
  <c r="C32" i="5" l="1"/>
  <c r="J32" i="5"/>
  <c r="J33" i="5" s="1"/>
  <c r="D32" i="5"/>
  <c r="D33" i="5" s="1"/>
  <c r="E32" i="5"/>
  <c r="E33" i="5" s="1"/>
  <c r="K32" i="5"/>
  <c r="K33" i="5" s="1"/>
  <c r="H32" i="5"/>
  <c r="H33" i="5" s="1"/>
  <c r="I32" i="5"/>
  <c r="I33" i="5" s="1"/>
  <c r="G32" i="5"/>
  <c r="G33" i="5" s="1"/>
  <c r="L32" i="5"/>
  <c r="L33" i="5" s="1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D25" i="4"/>
  <c r="E25" i="4"/>
  <c r="F25" i="4"/>
  <c r="G25" i="4"/>
  <c r="H25" i="4"/>
  <c r="J25" i="4"/>
  <c r="L25" i="4"/>
  <c r="C25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E6" i="4"/>
  <c r="E7" i="4"/>
  <c r="E8" i="4"/>
  <c r="E9" i="4"/>
  <c r="E5" i="4"/>
  <c r="K25" i="4" s="1"/>
  <c r="D6" i="4"/>
  <c r="D8" i="4"/>
  <c r="D9" i="4"/>
  <c r="D5" i="4"/>
  <c r="E19" i="4" s="1"/>
  <c r="C6" i="4"/>
  <c r="C7" i="4"/>
  <c r="C8" i="4"/>
  <c r="C9" i="4"/>
  <c r="C5" i="4"/>
  <c r="D13" i="4" s="1"/>
  <c r="C26" i="3"/>
  <c r="D26" i="3"/>
  <c r="E26" i="3"/>
  <c r="F26" i="3"/>
  <c r="G26" i="3"/>
  <c r="H26" i="3"/>
  <c r="I26" i="3"/>
  <c r="J26" i="3"/>
  <c r="K26" i="3"/>
  <c r="L26" i="3"/>
  <c r="C27" i="3"/>
  <c r="D27" i="3"/>
  <c r="E27" i="3"/>
  <c r="F27" i="3"/>
  <c r="G27" i="3"/>
  <c r="H27" i="3"/>
  <c r="I27" i="3"/>
  <c r="J27" i="3"/>
  <c r="K27" i="3"/>
  <c r="L27" i="3"/>
  <c r="C28" i="3"/>
  <c r="D28" i="3"/>
  <c r="E28" i="3"/>
  <c r="F28" i="3"/>
  <c r="G28" i="3"/>
  <c r="H28" i="3"/>
  <c r="I28" i="3"/>
  <c r="J28" i="3"/>
  <c r="K28" i="3"/>
  <c r="L28" i="3"/>
  <c r="C29" i="3"/>
  <c r="D29" i="3"/>
  <c r="E29" i="3"/>
  <c r="F29" i="3"/>
  <c r="G29" i="3"/>
  <c r="H29" i="3"/>
  <c r="I29" i="3"/>
  <c r="J29" i="3"/>
  <c r="K29" i="3"/>
  <c r="L29" i="3"/>
  <c r="D25" i="3"/>
  <c r="E25" i="3"/>
  <c r="F25" i="3"/>
  <c r="G25" i="3"/>
  <c r="H25" i="3"/>
  <c r="I25" i="3"/>
  <c r="J25" i="3"/>
  <c r="K25" i="3"/>
  <c r="L25" i="3"/>
  <c r="C25" i="3"/>
  <c r="C20" i="3"/>
  <c r="D20" i="3"/>
  <c r="E20" i="3"/>
  <c r="F20" i="3"/>
  <c r="G20" i="3"/>
  <c r="H20" i="3"/>
  <c r="I20" i="3"/>
  <c r="J20" i="3"/>
  <c r="K20" i="3"/>
  <c r="L20" i="3"/>
  <c r="C21" i="3"/>
  <c r="D21" i="3"/>
  <c r="E21" i="3"/>
  <c r="F21" i="3"/>
  <c r="G21" i="3"/>
  <c r="H21" i="3"/>
  <c r="I21" i="3"/>
  <c r="J21" i="3"/>
  <c r="K21" i="3"/>
  <c r="L21" i="3"/>
  <c r="C22" i="3"/>
  <c r="D22" i="3"/>
  <c r="E22" i="3"/>
  <c r="F22" i="3"/>
  <c r="G22" i="3"/>
  <c r="H22" i="3"/>
  <c r="I22" i="3"/>
  <c r="J22" i="3"/>
  <c r="K22" i="3"/>
  <c r="L22" i="3"/>
  <c r="C23" i="3"/>
  <c r="D23" i="3"/>
  <c r="E23" i="3"/>
  <c r="F23" i="3"/>
  <c r="G23" i="3"/>
  <c r="H23" i="3"/>
  <c r="I23" i="3"/>
  <c r="J23" i="3"/>
  <c r="K23" i="3"/>
  <c r="L23" i="3"/>
  <c r="D19" i="3"/>
  <c r="E19" i="3"/>
  <c r="F19" i="3"/>
  <c r="G19" i="3"/>
  <c r="H19" i="3"/>
  <c r="I19" i="3"/>
  <c r="J19" i="3"/>
  <c r="K19" i="3"/>
  <c r="L19" i="3"/>
  <c r="C19" i="3"/>
  <c r="C13" i="3"/>
  <c r="D13" i="3"/>
  <c r="D16" i="3"/>
  <c r="C14" i="3"/>
  <c r="D14" i="3"/>
  <c r="E14" i="3"/>
  <c r="F14" i="3"/>
  <c r="G14" i="3"/>
  <c r="H14" i="3"/>
  <c r="I14" i="3"/>
  <c r="J14" i="3"/>
  <c r="K14" i="3"/>
  <c r="L14" i="3"/>
  <c r="C15" i="3"/>
  <c r="D15" i="3"/>
  <c r="E15" i="3"/>
  <c r="F15" i="3"/>
  <c r="G15" i="3"/>
  <c r="H15" i="3"/>
  <c r="I15" i="3"/>
  <c r="J15" i="3"/>
  <c r="K15" i="3"/>
  <c r="L15" i="3"/>
  <c r="C16" i="3"/>
  <c r="E16" i="3"/>
  <c r="F16" i="3"/>
  <c r="G16" i="3"/>
  <c r="H16" i="3"/>
  <c r="J16" i="3"/>
  <c r="K16" i="3"/>
  <c r="L16" i="3"/>
  <c r="C17" i="3"/>
  <c r="D17" i="3"/>
  <c r="E17" i="3"/>
  <c r="F17" i="3"/>
  <c r="G17" i="3"/>
  <c r="H17" i="3"/>
  <c r="I17" i="3"/>
  <c r="J17" i="3"/>
  <c r="K17" i="3"/>
  <c r="L17" i="3"/>
  <c r="E13" i="3"/>
  <c r="F13" i="3"/>
  <c r="G13" i="3"/>
  <c r="H13" i="3"/>
  <c r="I13" i="3"/>
  <c r="J13" i="3"/>
  <c r="K13" i="3"/>
  <c r="L13" i="3"/>
  <c r="E6" i="3"/>
  <c r="E7" i="3"/>
  <c r="E5" i="3"/>
  <c r="D6" i="3"/>
  <c r="D7" i="3"/>
  <c r="D8" i="3"/>
  <c r="D9" i="3"/>
  <c r="D5" i="3"/>
  <c r="C6" i="3"/>
  <c r="C7" i="3"/>
  <c r="C8" i="3"/>
  <c r="C9" i="3"/>
  <c r="C5" i="3"/>
  <c r="P10" i="2"/>
  <c r="P11" i="2"/>
  <c r="P12" i="2"/>
  <c r="P13" i="2"/>
  <c r="P14" i="2"/>
  <c r="P5" i="2"/>
  <c r="P6" i="2"/>
  <c r="P7" i="2"/>
  <c r="P8" i="2"/>
  <c r="O15" i="4" l="1"/>
  <c r="I13" i="4"/>
  <c r="J13" i="4"/>
  <c r="V13" i="4" s="1"/>
  <c r="V21" i="4" s="1"/>
  <c r="J13" i="6" s="1"/>
  <c r="L13" i="4"/>
  <c r="X13" i="4" s="1"/>
  <c r="X21" i="4" s="1"/>
  <c r="C13" i="4"/>
  <c r="O13" i="4" s="1"/>
  <c r="O21" i="4" s="1"/>
  <c r="E13" i="4"/>
  <c r="Q13" i="4" s="1"/>
  <c r="Q21" i="4" s="1"/>
  <c r="F13" i="4"/>
  <c r="R13" i="4" s="1"/>
  <c r="K19" i="4"/>
  <c r="W14" i="4" s="1"/>
  <c r="W22" i="4" s="1"/>
  <c r="K14" i="6" s="1"/>
  <c r="G19" i="4"/>
  <c r="S14" i="4" s="1"/>
  <c r="S22" i="4" s="1"/>
  <c r="G14" i="6" s="1"/>
  <c r="I25" i="4"/>
  <c r="U15" i="4" s="1"/>
  <c r="U23" i="4" s="1"/>
  <c r="I15" i="6" s="1"/>
  <c r="G13" i="4"/>
  <c r="S13" i="4" s="1"/>
  <c r="S21" i="4" s="1"/>
  <c r="K13" i="4"/>
  <c r="W13" i="4" s="1"/>
  <c r="W21" i="4" s="1"/>
  <c r="L19" i="4"/>
  <c r="X14" i="4" s="1"/>
  <c r="X22" i="4" s="1"/>
  <c r="L14" i="6" s="1"/>
  <c r="H19" i="4"/>
  <c r="D19" i="4"/>
  <c r="J19" i="4"/>
  <c r="V14" i="4" s="1"/>
  <c r="V22" i="4" s="1"/>
  <c r="J14" i="6" s="1"/>
  <c r="F19" i="4"/>
  <c r="H13" i="4"/>
  <c r="T13" i="4" s="1"/>
  <c r="C19" i="4"/>
  <c r="O14" i="4" s="1"/>
  <c r="I19" i="4"/>
  <c r="U14" i="4" s="1"/>
  <c r="U22" i="4" s="1"/>
  <c r="I14" i="6" s="1"/>
  <c r="R14" i="4"/>
  <c r="R22" i="4" s="1"/>
  <c r="F14" i="6" s="1"/>
  <c r="T13" i="3"/>
  <c r="T20" i="3" s="1"/>
  <c r="H6" i="6" s="1"/>
  <c r="S13" i="3"/>
  <c r="Q13" i="3"/>
  <c r="Q20" i="3" s="1"/>
  <c r="E6" i="6" s="1"/>
  <c r="S14" i="3"/>
  <c r="S21" i="3" s="1"/>
  <c r="G7" i="6" s="1"/>
  <c r="O15" i="3"/>
  <c r="O22" i="3" s="1"/>
  <c r="U15" i="3"/>
  <c r="U22" i="3" s="1"/>
  <c r="I8" i="6" s="1"/>
  <c r="V15" i="4"/>
  <c r="V23" i="4" s="1"/>
  <c r="J15" i="6" s="1"/>
  <c r="O14" i="3"/>
  <c r="O21" i="3" s="1"/>
  <c r="U14" i="3"/>
  <c r="U21" i="3" s="1"/>
  <c r="I7" i="6" s="1"/>
  <c r="Q14" i="3"/>
  <c r="Q21" i="3" s="1"/>
  <c r="E7" i="6" s="1"/>
  <c r="W15" i="3"/>
  <c r="W22" i="3" s="1"/>
  <c r="K8" i="6" s="1"/>
  <c r="S15" i="3"/>
  <c r="S22" i="3" s="1"/>
  <c r="G8" i="6" s="1"/>
  <c r="X15" i="4"/>
  <c r="X23" i="4" s="1"/>
  <c r="L15" i="6" s="1"/>
  <c r="P15" i="4"/>
  <c r="P23" i="4" s="1"/>
  <c r="D15" i="6" s="1"/>
  <c r="X13" i="3"/>
  <c r="X20" i="3" s="1"/>
  <c r="L6" i="6" s="1"/>
  <c r="W13" i="3"/>
  <c r="W20" i="3" s="1"/>
  <c r="K6" i="6" s="1"/>
  <c r="U13" i="3"/>
  <c r="U20" i="3" s="1"/>
  <c r="I6" i="6" s="1"/>
  <c r="W14" i="3"/>
  <c r="W21" i="3" s="1"/>
  <c r="K7" i="6" s="1"/>
  <c r="Q15" i="3"/>
  <c r="Q22" i="3" s="1"/>
  <c r="E8" i="6" s="1"/>
  <c r="P13" i="3"/>
  <c r="P20" i="3" s="1"/>
  <c r="D6" i="6" s="1"/>
  <c r="T14" i="3"/>
  <c r="T21" i="3" s="1"/>
  <c r="H7" i="6" s="1"/>
  <c r="U13" i="4"/>
  <c r="U21" i="4" s="1"/>
  <c r="X14" i="3"/>
  <c r="X21" i="3" s="1"/>
  <c r="L7" i="6" s="1"/>
  <c r="P14" i="3"/>
  <c r="P21" i="3" s="1"/>
  <c r="D7" i="6" s="1"/>
  <c r="V15" i="3"/>
  <c r="V22" i="3" s="1"/>
  <c r="J8" i="6" s="1"/>
  <c r="R15" i="3"/>
  <c r="R22" i="3" s="1"/>
  <c r="F8" i="6" s="1"/>
  <c r="W15" i="4"/>
  <c r="W23" i="4" s="1"/>
  <c r="K15" i="6" s="1"/>
  <c r="V13" i="3"/>
  <c r="V20" i="3" s="1"/>
  <c r="J6" i="6" s="1"/>
  <c r="R13" i="3"/>
  <c r="R20" i="3" s="1"/>
  <c r="F6" i="6" s="1"/>
  <c r="O13" i="3"/>
  <c r="V14" i="3"/>
  <c r="V21" i="3" s="1"/>
  <c r="J7" i="6" s="1"/>
  <c r="R14" i="3"/>
  <c r="R21" i="3" s="1"/>
  <c r="F7" i="6" s="1"/>
  <c r="X15" i="3"/>
  <c r="X22" i="3" s="1"/>
  <c r="L8" i="6" s="1"/>
  <c r="T15" i="3"/>
  <c r="T22" i="3" s="1"/>
  <c r="H8" i="6" s="1"/>
  <c r="P15" i="3"/>
  <c r="P22" i="3" s="1"/>
  <c r="D8" i="6" s="1"/>
  <c r="D20" i="6"/>
  <c r="Q19" i="5"/>
  <c r="D21" i="6" s="1"/>
  <c r="Q20" i="5"/>
  <c r="D22" i="6" s="1"/>
  <c r="Q21" i="5"/>
  <c r="D23" i="6" s="1"/>
  <c r="Q15" i="4"/>
  <c r="Q23" i="4" s="1"/>
  <c r="E15" i="6" s="1"/>
  <c r="T19" i="5"/>
  <c r="G21" i="6" s="1"/>
  <c r="T20" i="5"/>
  <c r="G22" i="6" s="1"/>
  <c r="T21" i="5"/>
  <c r="G23" i="6" s="1"/>
  <c r="T18" i="5"/>
  <c r="G20" i="6" s="1"/>
  <c r="X19" i="5"/>
  <c r="K21" i="6" s="1"/>
  <c r="X20" i="5"/>
  <c r="K22" i="6" s="1"/>
  <c r="X21" i="5"/>
  <c r="K23" i="6" s="1"/>
  <c r="X18" i="5"/>
  <c r="K20" i="6" s="1"/>
  <c r="P13" i="4"/>
  <c r="S15" i="4"/>
  <c r="S23" i="4" s="1"/>
  <c r="G15" i="6" s="1"/>
  <c r="R15" i="4"/>
  <c r="R23" i="4" s="1"/>
  <c r="F15" i="6" s="1"/>
  <c r="R21" i="5"/>
  <c r="E23" i="6" s="1"/>
  <c r="R18" i="5"/>
  <c r="E20" i="6" s="1"/>
  <c r="R19" i="5"/>
  <c r="E21" i="6" s="1"/>
  <c r="R20" i="5"/>
  <c r="E22" i="6" s="1"/>
  <c r="V21" i="5"/>
  <c r="I23" i="6" s="1"/>
  <c r="V18" i="5"/>
  <c r="I20" i="6" s="1"/>
  <c r="V19" i="5"/>
  <c r="I21" i="6" s="1"/>
  <c r="V20" i="5"/>
  <c r="I22" i="6" s="1"/>
  <c r="T14" i="4"/>
  <c r="T22" i="4" s="1"/>
  <c r="H14" i="6" s="1"/>
  <c r="Y18" i="5"/>
  <c r="L20" i="6" s="1"/>
  <c r="Y19" i="5"/>
  <c r="L21" i="6" s="1"/>
  <c r="Y20" i="5"/>
  <c r="L22" i="6" s="1"/>
  <c r="Y21" i="5"/>
  <c r="L23" i="6" s="1"/>
  <c r="U18" i="5"/>
  <c r="H20" i="6" s="1"/>
  <c r="U19" i="5"/>
  <c r="H21" i="6" s="1"/>
  <c r="U20" i="5"/>
  <c r="H22" i="6" s="1"/>
  <c r="U21" i="5"/>
  <c r="H23" i="6" s="1"/>
  <c r="W20" i="5"/>
  <c r="J22" i="6" s="1"/>
  <c r="W21" i="5"/>
  <c r="J23" i="6" s="1"/>
  <c r="W18" i="5"/>
  <c r="J20" i="6" s="1"/>
  <c r="W19" i="5"/>
  <c r="J21" i="6" s="1"/>
  <c r="P19" i="5"/>
  <c r="P20" i="5"/>
  <c r="P21" i="5"/>
  <c r="T15" i="4"/>
  <c r="T23" i="4" s="1"/>
  <c r="H15" i="6" s="1"/>
  <c r="Q14" i="4"/>
  <c r="Q22" i="4" s="1"/>
  <c r="E14" i="6" s="1"/>
  <c r="P22" i="4" l="1"/>
  <c r="D14" i="6" s="1"/>
  <c r="P14" i="4"/>
  <c r="J29" i="6"/>
  <c r="K29" i="6"/>
  <c r="L28" i="6"/>
  <c r="F28" i="6"/>
  <c r="D29" i="6"/>
  <c r="J28" i="6"/>
  <c r="F29" i="6"/>
  <c r="I29" i="6"/>
  <c r="S16" i="3"/>
  <c r="S23" i="3" s="1"/>
  <c r="G9" i="6" s="1"/>
  <c r="I28" i="6"/>
  <c r="G28" i="6"/>
  <c r="X16" i="3"/>
  <c r="P16" i="3"/>
  <c r="P23" i="3" s="1"/>
  <c r="D9" i="6" s="1"/>
  <c r="E28" i="6"/>
  <c r="S20" i="3"/>
  <c r="G6" i="6" s="1"/>
  <c r="E29" i="6"/>
  <c r="L29" i="6"/>
  <c r="U16" i="3"/>
  <c r="U23" i="3" s="1"/>
  <c r="I9" i="6" s="1"/>
  <c r="Q16" i="3"/>
  <c r="Q23" i="3" s="1"/>
  <c r="E9" i="6" s="1"/>
  <c r="T16" i="3"/>
  <c r="T23" i="3" s="1"/>
  <c r="H9" i="6" s="1"/>
  <c r="R16" i="3"/>
  <c r="R23" i="3" s="1"/>
  <c r="F9" i="6" s="1"/>
  <c r="X16" i="4"/>
  <c r="G29" i="6"/>
  <c r="H28" i="6"/>
  <c r="Y13" i="3"/>
  <c r="W16" i="4"/>
  <c r="W16" i="3"/>
  <c r="W23" i="3" s="1"/>
  <c r="K9" i="6" s="1"/>
  <c r="K28" i="6"/>
  <c r="Y15" i="3"/>
  <c r="H29" i="6"/>
  <c r="O16" i="3"/>
  <c r="Q16" i="4"/>
  <c r="S16" i="4"/>
  <c r="J27" i="6"/>
  <c r="Y14" i="3"/>
  <c r="V16" i="3"/>
  <c r="V23" i="3" s="1"/>
  <c r="J9" i="6" s="1"/>
  <c r="C13" i="6"/>
  <c r="T21" i="4"/>
  <c r="T16" i="4"/>
  <c r="Y14" i="4"/>
  <c r="O22" i="4"/>
  <c r="Y13" i="4"/>
  <c r="G13" i="6"/>
  <c r="G27" i="6" s="1"/>
  <c r="G30" i="6" s="1"/>
  <c r="S24" i="4"/>
  <c r="G16" i="6" s="1"/>
  <c r="R21" i="4"/>
  <c r="R16" i="4"/>
  <c r="Y15" i="4"/>
  <c r="O23" i="4"/>
  <c r="O16" i="4"/>
  <c r="V24" i="4"/>
  <c r="J16" i="6" s="1"/>
  <c r="V16" i="4"/>
  <c r="U16" i="4"/>
  <c r="C8" i="6"/>
  <c r="Y22" i="3"/>
  <c r="M8" i="6" s="1"/>
  <c r="C36" i="6" s="1"/>
  <c r="C6" i="6"/>
  <c r="E13" i="6"/>
  <c r="E27" i="6" s="1"/>
  <c r="Q24" i="4"/>
  <c r="E16" i="6" s="1"/>
  <c r="U24" i="4"/>
  <c r="I16" i="6" s="1"/>
  <c r="I13" i="6"/>
  <c r="I27" i="6" s="1"/>
  <c r="P21" i="4"/>
  <c r="P16" i="4"/>
  <c r="C7" i="6"/>
  <c r="Y21" i="3"/>
  <c r="M7" i="6" s="1"/>
  <c r="C35" i="6" s="1"/>
  <c r="K13" i="6"/>
  <c r="K27" i="6" s="1"/>
  <c r="W24" i="4"/>
  <c r="K16" i="6" s="1"/>
  <c r="X24" i="4"/>
  <c r="L13" i="6"/>
  <c r="L27" i="6" s="1"/>
  <c r="Z21" i="5"/>
  <c r="M23" i="6" s="1"/>
  <c r="C23" i="6"/>
  <c r="Z18" i="5"/>
  <c r="M20" i="6" s="1"/>
  <c r="E34" i="6" s="1"/>
  <c r="C20" i="6"/>
  <c r="Z20" i="5"/>
  <c r="M22" i="6" s="1"/>
  <c r="C22" i="6"/>
  <c r="Z19" i="5"/>
  <c r="M21" i="6" s="1"/>
  <c r="C21" i="6"/>
  <c r="D28" i="6" l="1"/>
  <c r="L16" i="6"/>
  <c r="X23" i="3"/>
  <c r="O23" i="3"/>
  <c r="C9" i="6" s="1"/>
  <c r="E37" i="6"/>
  <c r="J30" i="6"/>
  <c r="I30" i="6"/>
  <c r="Y20" i="3"/>
  <c r="M6" i="6" s="1"/>
  <c r="C34" i="6" s="1"/>
  <c r="K30" i="6"/>
  <c r="E30" i="6"/>
  <c r="L30" i="6"/>
  <c r="Y16" i="4"/>
  <c r="Y16" i="3"/>
  <c r="C27" i="6"/>
  <c r="H13" i="6"/>
  <c r="T24" i="4"/>
  <c r="H16" i="6" s="1"/>
  <c r="F13" i="6"/>
  <c r="R24" i="4"/>
  <c r="F16" i="6" s="1"/>
  <c r="C14" i="6"/>
  <c r="C28" i="6" s="1"/>
  <c r="Y22" i="4"/>
  <c r="M14" i="6" s="1"/>
  <c r="O24" i="4"/>
  <c r="P24" i="4"/>
  <c r="D16" i="6" s="1"/>
  <c r="D13" i="6"/>
  <c r="Y23" i="4"/>
  <c r="M15" i="6" s="1"/>
  <c r="C15" i="6"/>
  <c r="C29" i="6" s="1"/>
  <c r="Y21" i="4"/>
  <c r="M13" i="6" s="1"/>
  <c r="F27" i="6" l="1"/>
  <c r="F30" i="6" s="1"/>
  <c r="D27" i="6"/>
  <c r="D30" i="6" s="1"/>
  <c r="H27" i="6"/>
  <c r="H30" i="6" s="1"/>
  <c r="Y23" i="3"/>
  <c r="M9" i="6" s="1"/>
  <c r="L9" i="6"/>
  <c r="M29" i="6"/>
  <c r="D36" i="6"/>
  <c r="M28" i="6"/>
  <c r="D35" i="6"/>
  <c r="M27" i="6"/>
  <c r="D34" i="6"/>
  <c r="C37" i="6"/>
  <c r="C30" i="6"/>
  <c r="Y24" i="4"/>
  <c r="M16" i="6" s="1"/>
  <c r="C16" i="6"/>
  <c r="M30" i="6" l="1"/>
  <c r="F36" i="6"/>
  <c r="F34" i="6"/>
  <c r="F35" i="6"/>
  <c r="D37" i="6"/>
  <c r="F37" i="6" s="1"/>
</calcChain>
</file>

<file path=xl/sharedStrings.xml><?xml version="1.0" encoding="utf-8"?>
<sst xmlns="http://schemas.openxmlformats.org/spreadsheetml/2006/main" count="792" uniqueCount="204">
  <si>
    <t>Nr of people exposed to different noise bands (Lden)</t>
  </si>
  <si>
    <t>Nr of people exposed to major noise bands (LdenM)</t>
  </si>
  <si>
    <t>Nr of people exposed to different noise bands (Lnight)</t>
  </si>
  <si>
    <t>Nr of people exposed to major noise bands (LnightM)</t>
  </si>
  <si>
    <t>Country</t>
  </si>
  <si>
    <t>Region</t>
  </si>
  <si>
    <t>EU</t>
  </si>
  <si>
    <t>Agglomeration Name (in English)</t>
  </si>
  <si>
    <t>Nr Inhabitants</t>
  </si>
  <si>
    <t>Area (km2)</t>
  </si>
  <si>
    <t>55-59</t>
  </si>
  <si>
    <t>60-64</t>
  </si>
  <si>
    <t>65-69</t>
  </si>
  <si>
    <t>70-74</t>
  </si>
  <si>
    <t>&gt;75</t>
  </si>
  <si>
    <t>50-55</t>
  </si>
  <si>
    <t>&gt;70</t>
  </si>
  <si>
    <t>Under Review</t>
  </si>
  <si>
    <t>Process</t>
  </si>
  <si>
    <t>Comment</t>
  </si>
  <si>
    <t>Data Source</t>
  </si>
  <si>
    <t>Finland</t>
  </si>
  <si>
    <t/>
  </si>
  <si>
    <t>EU28</t>
  </si>
  <si>
    <t>Espoo</t>
  </si>
  <si>
    <t>http://cdr.eionet.europa.eu/fi/eu/noise/df8/2017/envwjdfiq</t>
  </si>
  <si>
    <t>Helsinki</t>
  </si>
  <si>
    <t>Jyvaskyla</t>
  </si>
  <si>
    <t>Kauniainen</t>
  </si>
  <si>
    <t>Number of inhabitants 2010</t>
  </si>
  <si>
    <t>Kuopio</t>
  </si>
  <si>
    <t>Lahti</t>
  </si>
  <si>
    <t>Oulu</t>
  </si>
  <si>
    <t>Tampere</t>
  </si>
  <si>
    <t>Turku</t>
  </si>
  <si>
    <t>Vantaa</t>
  </si>
  <si>
    <t>ROAD</t>
  </si>
  <si>
    <t>Rnd_nLden75</t>
  </si>
  <si>
    <t>RAILWAY</t>
  </si>
  <si>
    <t>Exposure data under review</t>
  </si>
  <si>
    <t>AIRPORT</t>
  </si>
  <si>
    <t>Arvot poimittu END_DF4_DF8_Results_2017_190101.xls</t>
  </si>
  <si>
    <t>Lden</t>
  </si>
  <si>
    <t>Lnight</t>
  </si>
  <si>
    <t>TIE</t>
  </si>
  <si>
    <t>RAIDE</t>
  </si>
  <si>
    <t>LENTO</t>
  </si>
  <si>
    <t>Altistusluokka</t>
  </si>
  <si>
    <t>keskimääräinen altistus</t>
  </si>
  <si>
    <t>%HA</t>
  </si>
  <si>
    <t>%HA = 9.868 * 10^-4  * (Lden - 42)^3 - 1.436 * 10^-2 * (Lden-42)^2 + 0.5118 * (Lden - 42)</t>
  </si>
  <si>
    <t>%HA=7.239*10^-4*(Lden-42)^3-7.851*10^-3*(Lden-42)^2+0.1695*(Lden-42)</t>
  </si>
  <si>
    <t>%HA=-9.199*10^-5*(Lden-42)^3+3.932*10^-2*(Lden-42)^2+0.2939*(Lden-42)</t>
  </si>
  <si>
    <t>Summa</t>
  </si>
  <si>
    <t>Highly annoyed, suuresti kiusaantuneet</t>
  </si>
  <si>
    <t>Highly sleep-disturbed, Vakavasti unihäiriöiset</t>
  </si>
  <si>
    <t>HSD = 20.8 - 1.05 * (Lnight) +  0.01486 * (Lnight)^2</t>
  </si>
  <si>
    <t>HSD =11.3-0.55*(Lnight) +0.00759*(Lnight)^2</t>
  </si>
  <si>
    <t>HSD=18.147-0.956*(Lnight)+0.01482*(Lnight)^2</t>
  </si>
  <si>
    <t>SUMMA</t>
  </si>
  <si>
    <t>%HSD</t>
  </si>
  <si>
    <t>ka. altistus</t>
  </si>
  <si>
    <t xml:space="preserve">OR </t>
  </si>
  <si>
    <t>% of people exposed to different noise bands (Lden) in selected cities</t>
  </si>
  <si>
    <t xml:space="preserve">Jyväskylä </t>
  </si>
  <si>
    <t>Lahti  </t>
  </si>
  <si>
    <t>DALY</t>
  </si>
  <si>
    <t>YLL</t>
  </si>
  <si>
    <t>YLD</t>
  </si>
  <si>
    <t>Deaths</t>
  </si>
  <si>
    <t>Sum</t>
  </si>
  <si>
    <t>Koko maa</t>
  </si>
  <si>
    <t>Joensuu</t>
  </si>
  <si>
    <t>Jyväskylä</t>
  </si>
  <si>
    <t>var a:=Noise_exposure_fraction*RR_noise_cardiovascu;</t>
  </si>
  <si>
    <t>var b:=1-sum(Noise_exposure_frac,Noise_level_Lden);</t>
  </si>
  <si>
    <t>{var b is needed to include all the population in the calculations}</t>
  </si>
  <si>
    <t>a:=sum(a, Noise_level_Lden)+b;</t>
  </si>
  <si>
    <t>a:=(a-1)/a</t>
  </si>
  <si>
    <t>a</t>
  </si>
  <si>
    <t>b</t>
  </si>
  <si>
    <t>a1</t>
  </si>
  <si>
    <t>PAF</t>
  </si>
  <si>
    <t>Tie</t>
  </si>
  <si>
    <t>Raide</t>
  </si>
  <si>
    <t>Lento</t>
  </si>
  <si>
    <t>Alue</t>
  </si>
  <si>
    <t>Yhteensä</t>
  </si>
  <si>
    <t>Kunta</t>
  </si>
  <si>
    <t xml:space="preserve">PAF </t>
  </si>
  <si>
    <t>Kiusaantuneet</t>
  </si>
  <si>
    <t>Unihäiriöiset</t>
  </si>
  <si>
    <t>Väestö</t>
  </si>
  <si>
    <t>50-54</t>
  </si>
  <si>
    <t>UniqueAgglomerationId</t>
  </si>
  <si>
    <t>IcaoCode</t>
  </si>
  <si>
    <t>Lden5054</t>
  </si>
  <si>
    <t>Lden5559</t>
  </si>
  <si>
    <t>Lden6064</t>
  </si>
  <si>
    <t>Lden6569</t>
  </si>
  <si>
    <t>Lden7074</t>
  </si>
  <si>
    <t>Lden75</t>
  </si>
  <si>
    <t>Lden5054WithSpecialInsulation</t>
  </si>
  <si>
    <t>Lden5559WithSpecialInsulation</t>
  </si>
  <si>
    <t>Lden6064WithSpecialInsulation</t>
  </si>
  <si>
    <t>Lden6569WithSpecialInsulation</t>
  </si>
  <si>
    <t>Lden7074WithSpecialInsulation</t>
  </si>
  <si>
    <t>Lden75WithSpecialInsulation</t>
  </si>
  <si>
    <t>Lden5054WithAQuietFacade</t>
  </si>
  <si>
    <t>Lden5559WithAQuietFacade</t>
  </si>
  <si>
    <t>Lden6064WithAQuietFacade</t>
  </si>
  <si>
    <t>Lden6569WithAQuietFacade</t>
  </si>
  <si>
    <t>Lden7074WithAQuietFacade</t>
  </si>
  <si>
    <t>Lden75WithAQuietFacade</t>
  </si>
  <si>
    <t>Lnight4044</t>
  </si>
  <si>
    <t>Lnight4549</t>
  </si>
  <si>
    <t>Lnight5054</t>
  </si>
  <si>
    <t>Lnight5559</t>
  </si>
  <si>
    <t>Lnight6064</t>
  </si>
  <si>
    <t>Lnight6569</t>
  </si>
  <si>
    <t>Lnight70</t>
  </si>
  <si>
    <t>Lnight4044WithSpecialInsulation</t>
  </si>
  <si>
    <t>Lnight4549WithSpecialInsulation</t>
  </si>
  <si>
    <t>Lnight5054WithSpecialInsulation</t>
  </si>
  <si>
    <t>Lnight5559WithSpecialInsulation</t>
  </si>
  <si>
    <t>Lnight6064WithSpecialInsulation</t>
  </si>
  <si>
    <t>Lnight6569WithSpecialInsulation</t>
  </si>
  <si>
    <t>Lnight70WithSpecialInsulation</t>
  </si>
  <si>
    <t>Lnight4044WithAQuietFacade</t>
  </si>
  <si>
    <t>Lnight4549WithAQuietFacade</t>
  </si>
  <si>
    <t>Lnight5054WithAQuietFacade</t>
  </si>
  <si>
    <t>Lnight5559WithAQuietFacade</t>
  </si>
  <si>
    <t>Lnight6064WithAQuietFacade</t>
  </si>
  <si>
    <t>Lnight6569WithAQuietFacade</t>
  </si>
  <si>
    <t>Lnight70WithAQuietFacade</t>
  </si>
  <si>
    <t>ComputationAndMeasurementMethodsReportDetails</t>
  </si>
  <si>
    <t>ComputationMethodName</t>
  </si>
  <si>
    <t>FI_a_ag1</t>
  </si>
  <si>
    <t>EFHK</t>
  </si>
  <si>
    <t>Helsinki-Vantaan lentoasema lentokonemeluselvitys, toteutunut tilanne vuonna 2016, Finavia Oyj, draft 27.6.2017</t>
  </si>
  <si>
    <t>INM 7.0d</t>
  </si>
  <si>
    <t>FI_a_ag2</t>
  </si>
  <si>
    <t>FI_a_ag4</t>
  </si>
  <si>
    <r>
      <t>Agglomeraati</t>
    </r>
    <r>
      <rPr>
        <sz val="10"/>
        <rFont val="Arial"/>
        <family val="2"/>
      </rPr>
      <t>ot</t>
    </r>
  </si>
  <si>
    <t>Melutaso</t>
  </si>
  <si>
    <t xml:space="preserve">Lden &gt;55 db </t>
  </si>
  <si>
    <t>Lnight &gt; 50 dB</t>
  </si>
  <si>
    <t>Lden &gt;55</t>
  </si>
  <si>
    <t>Lnight &gt;50</t>
  </si>
  <si>
    <t>% Lden</t>
  </si>
  <si>
    <t>% Lnight</t>
  </si>
  <si>
    <t>Lentokone</t>
  </si>
  <si>
    <t>HELSINKI-VANTAAN lentokonemelu (DF4_8_Agg_Air_Major)</t>
  </si>
  <si>
    <t>Iskeeminen sydänsairaus</t>
  </si>
  <si>
    <t>ALTISTUSSIVULLE LISÄTTY HELSINKI-VANTAA LENTOKONEMELU VANTAALLE JA ESPOOLLE</t>
  </si>
  <si>
    <t>Annos-vastesuhteet (WHO, 2011)</t>
  </si>
  <si>
    <t>07-04-2021 Heli Lehtomäki</t>
  </si>
  <si>
    <t>Mikäli sinulla on tähän tiedostoon liittyviä kysymyksiä, voit lähettää kysymyksesi osoitteeseen heli.lehtomaki@thl.fi</t>
  </si>
  <si>
    <t>Excel-tiedoston rakenne:</t>
  </si>
  <si>
    <t xml:space="preserve">Lehtomäki, H., Karvosenoja, N., Paunu, V-V., Korhonen, A., Hänninen, O., Tuomisto, J., Karppinen, A., Kukkonen, J. &amp; Tainio, M. 2021. </t>
  </si>
  <si>
    <t>Liikenteen terveysvaikutukset Suomessa ja suurimmissa kaupungeissa. Suomen ympäristökeskuksen raportteja 16/2021.</t>
  </si>
  <si>
    <t>Tämä Excel kuvaa liikenteen melualtistuksen tautitaakan laskentaa osana Liikenteen terveysvaikutukset Suomessa ja suurimmissa kaupungeissa -raporttia (Lehtomäki ym. 2021).</t>
  </si>
  <si>
    <t>EEA data</t>
  </si>
  <si>
    <t>Helsinki-Vantaa</t>
  </si>
  <si>
    <t>Altistus</t>
  </si>
  <si>
    <t>HA</t>
  </si>
  <si>
    <t>HSD</t>
  </si>
  <si>
    <t>IHD</t>
  </si>
  <si>
    <t>Melun altistusdata 10 kaupungille kopioitu EEA:n sivuilta</t>
  </si>
  <si>
    <t>Helsinki-Vantaan lentokenttämelulle altistuminen</t>
  </si>
  <si>
    <t>Tautitaakka</t>
  </si>
  <si>
    <r>
      <rPr>
        <sz val="10"/>
        <rFont val="Arial"/>
        <family val="2"/>
      </rPr>
      <t>Lähde:</t>
    </r>
    <r>
      <rPr>
        <sz val="10"/>
        <color theme="10"/>
        <rFont val="Arial"/>
        <family val="2"/>
      </rPr>
      <t xml:space="preserve"> </t>
    </r>
    <r>
      <rPr>
        <u/>
        <sz val="10"/>
        <color theme="10"/>
        <rFont val="Arial"/>
        <family val="2"/>
      </rPr>
      <t xml:space="preserve">http://cdr.eionet.europa.eu/fi/eu/noise/df8/2017/envwjdfiq/FI_d_DF4_8_MAir_2017_del.xls/manage_document </t>
    </r>
  </si>
  <si>
    <t xml:space="preserve">Espoo </t>
  </si>
  <si>
    <t>Kaupunki</t>
  </si>
  <si>
    <t xml:space="preserve">Taulukko 1: Helsinki-Vantaan lentokentän lentokonemelulle altistuneet </t>
  </si>
  <si>
    <t>ka. Altistus (Lden)</t>
  </si>
  <si>
    <t>Altistuneiden henkilöiden lukumäärä kussakin altistumisluokassa (Lden)</t>
  </si>
  <si>
    <t>Taulukko 1. Suuresti kiusaantuneiden henkilöiden lukumäärä.</t>
  </si>
  <si>
    <t xml:space="preserve">Taulukko 2. Suuresti kiusaantuneet henkilöt melulähteittäin. </t>
  </si>
  <si>
    <t>Taulukko 3. Suuresti kiusaantuneiden tautitaakka.</t>
  </si>
  <si>
    <t>Taulukko 1. Vakavasti unihäiriöisten henkilöiden lukumäärä.</t>
  </si>
  <si>
    <t xml:space="preserve">Taulukko 2. Vakavasti unihäiriöiset melulähteittäin. </t>
  </si>
  <si>
    <t>Taulukko 3. Vakavasti unihäiriöisten tautitaakka.</t>
  </si>
  <si>
    <t>CVD, sydäninfarkti. Laskennassa käytetty sydäninfarktin vetosuhdetta kaikille iskeemisille sydäntaudeille.</t>
  </si>
  <si>
    <t xml:space="preserve">Sydäninfarktinvetosuhde (OR) WHO 2011 Liite 1 </t>
  </si>
  <si>
    <t>Taulukko 1. Altistuneiden osuus (%) kaupungin väestöstä eri meluluokissa (Lden).</t>
  </si>
  <si>
    <t>Taulukko 2.Iskeemisen sydäntaudin taustatautitaakka, kaikki ikäryhmät. Kopioitu: GBD_BBoD_2015_05.xlsx 29-07-2020</t>
  </si>
  <si>
    <t xml:space="preserve">Taulukko 3. Melualtistukseen liittyvän iskeemisen sydäntaudin tautitaakka. </t>
  </si>
  <si>
    <t xml:space="preserve">Laskenta melualtistukseen liittyvän iskeemisen sydäntaudin (IHD) osuus (väestösyyosuus, PAF): </t>
  </si>
  <si>
    <t>Melualtistuksen vuoksi suuresti kiusaantuneiden tautitaakka</t>
  </si>
  <si>
    <t>Liikennemelun altistustiedot koottuna</t>
  </si>
  <si>
    <t>Melualtistuksen vuoksi vaikeasti unihäiriöisten tautitaakka</t>
  </si>
  <si>
    <t>Melun altistukseen kohdentuvan iskeeminen sydäntaudin tautitaakka</t>
  </si>
  <si>
    <t>Liikennemelun tautitaakkatulokset koottuna</t>
  </si>
  <si>
    <t xml:space="preserve">Taulukko 1. Suuresti häiriintyneiden tautitaakka </t>
  </si>
  <si>
    <t>Taulukko 2. Vakavasti unihäiriöisten tautitaakka</t>
  </si>
  <si>
    <t>Taulukko 3. Iskeemisen sydäntaudin tautitaakka</t>
  </si>
  <si>
    <t>Taulukko 5. Ympäristömelun terveysvaikutukset melulähteittäin eri terveysvasteille</t>
  </si>
  <si>
    <t>Taulukko 4. Ympäristömelun tautitaakka melulähteittäin ja kaupungeittain</t>
  </si>
  <si>
    <t>DW</t>
  </si>
  <si>
    <t>L (a)</t>
  </si>
  <si>
    <t>EBD = AI x DW x L, jossa EBD on ympäristötekijään kohdentuva tautitaakka, AI on altistuksen vuoksi aiheutuneet lisätapaukset, DW on haittapainokerroin ja L haitan kesto.</t>
  </si>
  <si>
    <t>EBD = AI x DW x L, missä EBD on ympäristötekijään kohdentuva tautitaakka, AI on altistuksen vuoksi aiheutuneet lisätapaukset, DW on haittapainokerroin ja L haitan kesto.</t>
  </si>
  <si>
    <t>EBD = PAF x BBoD, missä EBD on ympäristöriskiin kohdistuva tautitaakka, PAF on väestösyyosuus ja BBoD on taustatautitaakka.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</si>
</sst>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#,##0.00&quot; &quot;[$€-40C];[Red]&quot;-&quot;#,##0.00&quot; &quot;[$€-40C]"/>
    <numFmt numFmtId="165" formatCode="#,##0.00&quot; &quot;[$kr-425];[Red]&quot;-&quot;#,##0.00&quot; &quot;[$kr-425]"/>
    <numFmt numFmtId="166" formatCode="0.0\ %"/>
    <numFmt numFmtId="167" formatCode="0.0"/>
    <numFmt numFmtId="168" formatCode="0.00000"/>
    <numFmt numFmtId="169" formatCode="0.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16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8"/>
      <color indexed="10"/>
      <name val="Arial"/>
      <family val="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i/>
      <sz val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</font>
    <font>
      <b/>
      <sz val="8"/>
      <color rgb="FFFF000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0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4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22"/>
      </right>
      <top/>
      <bottom/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/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" fillId="2" borderId="0" applyNumberFormat="0" applyBorder="0" applyAlignment="0" applyProtection="0"/>
    <xf numFmtId="0" fontId="3" fillId="0" borderId="2" applyNumberFormat="0" applyFill="0" applyAlignment="0" applyProtection="0"/>
    <xf numFmtId="0" fontId="4" fillId="0" borderId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7" fillId="0" borderId="0">
      <alignment horizontal="center"/>
    </xf>
    <xf numFmtId="0" fontId="17" fillId="0" borderId="0">
      <alignment horizontal="center" textRotation="9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15" fillId="3" borderId="1" applyNumberFormat="0" applyFont="0" applyAlignment="0" applyProtection="0"/>
    <xf numFmtId="0" fontId="15" fillId="3" borderId="1" applyNumberFormat="0" applyFont="0" applyAlignment="0" applyProtection="0"/>
    <xf numFmtId="0" fontId="19" fillId="0" borderId="0"/>
    <xf numFmtId="164" fontId="19" fillId="0" borderId="0"/>
    <xf numFmtId="165" fontId="19" fillId="0" borderId="0"/>
    <xf numFmtId="0" fontId="11" fillId="0" borderId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1" fillId="0" borderId="0"/>
  </cellStyleXfs>
  <cellXfs count="95">
    <xf numFmtId="0" fontId="0" fillId="0" borderId="0" xfId="0"/>
    <xf numFmtId="0" fontId="4" fillId="0" borderId="0" xfId="3"/>
    <xf numFmtId="0" fontId="14" fillId="0" borderId="0" xfId="3" applyFont="1" applyAlignment="1">
      <alignment horizontal="center"/>
    </xf>
    <xf numFmtId="0" fontId="6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12" fillId="4" borderId="8" xfId="106" applyFont="1" applyFill="1" applyBorder="1" applyAlignment="1">
      <alignment horizontal="center" vertical="center"/>
    </xf>
    <xf numFmtId="0" fontId="12" fillId="4" borderId="9" xfId="106" applyFont="1" applyFill="1" applyBorder="1" applyAlignment="1">
      <alignment horizontal="center" vertical="center"/>
    </xf>
    <xf numFmtId="0" fontId="12" fillId="4" borderId="10" xfId="106" applyFont="1" applyFill="1" applyBorder="1" applyAlignment="1">
      <alignment horizontal="center" vertical="center"/>
    </xf>
    <xf numFmtId="0" fontId="12" fillId="5" borderId="8" xfId="106" applyFont="1" applyFill="1" applyBorder="1" applyAlignment="1">
      <alignment horizontal="center" vertical="center"/>
    </xf>
    <xf numFmtId="0" fontId="12" fillId="5" borderId="9" xfId="106" applyFont="1" applyFill="1" applyBorder="1" applyAlignment="1">
      <alignment horizontal="center" vertical="center"/>
    </xf>
    <xf numFmtId="0" fontId="12" fillId="5" borderId="10" xfId="106" applyFont="1" applyFill="1" applyBorder="1" applyAlignment="1">
      <alignment horizontal="center" vertical="center"/>
    </xf>
    <xf numFmtId="0" fontId="12" fillId="6" borderId="7" xfId="106" applyFont="1" applyFill="1" applyBorder="1" applyAlignment="1">
      <alignment horizontal="center" vertical="center"/>
    </xf>
    <xf numFmtId="0" fontId="12" fillId="6" borderId="9" xfId="106" applyFont="1" applyFill="1" applyBorder="1" applyAlignment="1">
      <alignment horizontal="center" vertical="center"/>
    </xf>
    <xf numFmtId="0" fontId="12" fillId="6" borderId="11" xfId="106" applyFont="1" applyFill="1" applyBorder="1" applyAlignment="1">
      <alignment horizontal="center" vertical="center"/>
    </xf>
    <xf numFmtId="0" fontId="12" fillId="7" borderId="5" xfId="106" applyFont="1" applyFill="1" applyBorder="1" applyAlignment="1">
      <alignment horizontal="center" vertical="center"/>
    </xf>
    <xf numFmtId="0" fontId="12" fillId="7" borderId="12" xfId="106" applyFont="1" applyFill="1" applyBorder="1" applyAlignment="1">
      <alignment horizontal="center" vertical="center"/>
    </xf>
    <xf numFmtId="0" fontId="12" fillId="7" borderId="13" xfId="106" applyFont="1" applyFill="1" applyBorder="1" applyAlignment="1">
      <alignment horizontal="center" vertical="center"/>
    </xf>
    <xf numFmtId="0" fontId="10" fillId="0" borderId="6" xfId="106" applyFont="1" applyBorder="1" applyAlignment="1">
      <alignment horizontal="center" vertical="center"/>
    </xf>
    <xf numFmtId="0" fontId="7" fillId="0" borderId="3" xfId="107" applyFont="1" applyBorder="1"/>
    <xf numFmtId="0" fontId="10" fillId="0" borderId="14" xfId="106" applyFont="1" applyBorder="1" applyAlignment="1">
      <alignment horizontal="center" vertical="center"/>
    </xf>
    <xf numFmtId="0" fontId="10" fillId="0" borderId="15" xfId="106" applyFont="1" applyBorder="1" applyAlignment="1">
      <alignment horizontal="center" vertical="center"/>
    </xf>
    <xf numFmtId="0" fontId="10" fillId="0" borderId="16" xfId="106" applyFont="1" applyBorder="1" applyAlignment="1">
      <alignment horizontal="center" vertical="center"/>
    </xf>
    <xf numFmtId="0" fontId="13" fillId="0" borderId="0" xfId="3" applyFont="1"/>
    <xf numFmtId="0" fontId="9" fillId="4" borderId="4" xfId="3" applyFont="1" applyFill="1" applyBorder="1" applyAlignment="1">
      <alignment vertical="center"/>
    </xf>
    <xf numFmtId="0" fontId="9" fillId="4" borderId="17" xfId="3" applyFont="1" applyFill="1" applyBorder="1" applyAlignment="1">
      <alignment vertical="center"/>
    </xf>
    <xf numFmtId="0" fontId="9" fillId="4" borderId="18" xfId="3" applyFont="1" applyFill="1" applyBorder="1" applyAlignment="1">
      <alignment vertical="center"/>
    </xf>
    <xf numFmtId="0" fontId="9" fillId="5" borderId="4" xfId="3" applyFont="1" applyFill="1" applyBorder="1" applyAlignment="1">
      <alignment vertical="center"/>
    </xf>
    <xf numFmtId="0" fontId="9" fillId="5" borderId="17" xfId="3" applyFont="1" applyFill="1" applyBorder="1" applyAlignment="1">
      <alignment vertical="center"/>
    </xf>
    <xf numFmtId="0" fontId="9" fillId="5" borderId="18" xfId="3" applyFont="1" applyFill="1" applyBorder="1" applyAlignment="1">
      <alignment vertical="center"/>
    </xf>
    <xf numFmtId="0" fontId="9" fillId="6" borderId="17" xfId="3" applyFont="1" applyFill="1" applyBorder="1" applyAlignment="1">
      <alignment vertical="center"/>
    </xf>
    <xf numFmtId="0" fontId="9" fillId="7" borderId="4" xfId="3" applyFont="1" applyFill="1" applyBorder="1" applyAlignment="1">
      <alignment vertical="center"/>
    </xf>
    <xf numFmtId="0" fontId="9" fillId="7" borderId="17" xfId="3" applyFont="1" applyFill="1" applyBorder="1" applyAlignment="1">
      <alignment vertical="center"/>
    </xf>
    <xf numFmtId="0" fontId="9" fillId="7" borderId="18" xfId="3" applyFont="1" applyFill="1" applyBorder="1" applyAlignment="1">
      <alignment vertical="center"/>
    </xf>
    <xf numFmtId="2" fontId="6" fillId="0" borderId="0" xfId="3" applyNumberFormat="1" applyFont="1" applyAlignment="1">
      <alignment vertical="center"/>
    </xf>
    <xf numFmtId="2" fontId="10" fillId="0" borderId="19" xfId="106" applyNumberFormat="1" applyFont="1" applyBorder="1" applyAlignment="1">
      <alignment horizontal="center" vertical="center"/>
    </xf>
    <xf numFmtId="0" fontId="7" fillId="0" borderId="20" xfId="107" applyFont="1" applyBorder="1"/>
    <xf numFmtId="0" fontId="7" fillId="0" borderId="21" xfId="107" applyFont="1" applyBorder="1"/>
    <xf numFmtId="2" fontId="7" fillId="0" borderId="21" xfId="107" applyNumberFormat="1" applyFont="1" applyBorder="1"/>
    <xf numFmtId="0" fontId="7" fillId="0" borderId="3" xfId="107" applyFont="1" applyBorder="1"/>
    <xf numFmtId="0" fontId="7" fillId="0" borderId="20" xfId="107" applyFont="1" applyBorder="1"/>
    <xf numFmtId="0" fontId="7" fillId="0" borderId="21" xfId="107" applyFont="1" applyBorder="1"/>
    <xf numFmtId="0" fontId="7" fillId="0" borderId="3" xfId="107" applyFont="1" applyBorder="1"/>
    <xf numFmtId="0" fontId="7" fillId="0" borderId="20" xfId="107" applyFont="1" applyBorder="1"/>
    <xf numFmtId="0" fontId="7" fillId="0" borderId="21" xfId="107" applyFont="1" applyBorder="1"/>
    <xf numFmtId="0" fontId="9" fillId="4" borderId="0" xfId="3" applyFont="1" applyFill="1" applyBorder="1" applyAlignment="1">
      <alignment vertical="center"/>
    </xf>
    <xf numFmtId="0" fontId="0" fillId="0" borderId="0" xfId="0" applyBorder="1"/>
    <xf numFmtId="0" fontId="7" fillId="0" borderId="0" xfId="107" applyFont="1" applyBorder="1"/>
    <xf numFmtId="0" fontId="12" fillId="4" borderId="0" xfId="106" applyFont="1" applyFill="1" applyBorder="1" applyAlignment="1">
      <alignment horizontal="center" vertical="center"/>
    </xf>
    <xf numFmtId="0" fontId="9" fillId="6" borderId="0" xfId="3" applyFont="1" applyFill="1" applyBorder="1" applyAlignment="1">
      <alignment vertical="center"/>
    </xf>
    <xf numFmtId="0" fontId="12" fillId="6" borderId="0" xfId="106" applyFont="1" applyFill="1" applyBorder="1" applyAlignment="1">
      <alignment horizontal="center" vertical="center"/>
    </xf>
    <xf numFmtId="0" fontId="7" fillId="0" borderId="0" xfId="107" applyFont="1" applyFill="1" applyBorder="1"/>
    <xf numFmtId="9" fontId="0" fillId="0" borderId="0" xfId="114" applyFont="1"/>
    <xf numFmtId="1" fontId="0" fillId="0" borderId="0" xfId="0" applyNumberFormat="1"/>
    <xf numFmtId="166" fontId="0" fillId="0" borderId="0" xfId="114" applyNumberFormat="1" applyFont="1"/>
    <xf numFmtId="168" fontId="0" fillId="0" borderId="0" xfId="0" applyNumberFormat="1"/>
    <xf numFmtId="10" fontId="0" fillId="0" borderId="0" xfId="114" applyNumberFormat="1" applyFont="1"/>
    <xf numFmtId="0" fontId="0" fillId="0" borderId="0" xfId="0" applyFill="1" applyProtection="1"/>
    <xf numFmtId="0" fontId="21" fillId="0" borderId="0" xfId="0" applyFont="1"/>
    <xf numFmtId="169" fontId="0" fillId="0" borderId="0" xfId="0" applyNumberFormat="1"/>
    <xf numFmtId="167" fontId="0" fillId="0" borderId="0" xfId="0" applyNumberFormat="1"/>
    <xf numFmtId="169" fontId="0" fillId="0" borderId="0" xfId="114" applyNumberFormat="1" applyFont="1"/>
    <xf numFmtId="0" fontId="3" fillId="0" borderId="0" xfId="0" applyFont="1"/>
    <xf numFmtId="10" fontId="3" fillId="0" borderId="0" xfId="114" applyNumberFormat="1" applyFont="1"/>
    <xf numFmtId="0" fontId="22" fillId="0" borderId="0" xfId="0" applyFont="1"/>
    <xf numFmtId="166" fontId="22" fillId="0" borderId="0" xfId="114" applyNumberFormat="1" applyFont="1"/>
    <xf numFmtId="0" fontId="23" fillId="4" borderId="0" xfId="106" applyFont="1" applyFill="1" applyBorder="1" applyAlignment="1">
      <alignment horizontal="center" vertical="center"/>
    </xf>
    <xf numFmtId="2" fontId="22" fillId="0" borderId="0" xfId="114" applyNumberFormat="1" applyFont="1"/>
    <xf numFmtId="0" fontId="9" fillId="0" borderId="0" xfId="3" applyFont="1" applyFill="1" applyBorder="1" applyAlignment="1">
      <alignment vertical="center"/>
    </xf>
    <xf numFmtId="0" fontId="24" fillId="0" borderId="0" xfId="107" applyFont="1" applyBorder="1"/>
    <xf numFmtId="0" fontId="24" fillId="0" borderId="0" xfId="107" applyFont="1" applyFill="1" applyBorder="1"/>
    <xf numFmtId="10" fontId="1" fillId="0" borderId="0" xfId="114" applyNumberFormat="1" applyFont="1"/>
    <xf numFmtId="0" fontId="25" fillId="0" borderId="0" xfId="0" applyFont="1" applyFill="1" applyBorder="1"/>
    <xf numFmtId="0" fontId="20" fillId="0" borderId="0" xfId="0" applyFont="1" applyFill="1" applyBorder="1" applyProtection="1"/>
    <xf numFmtId="3" fontId="20" fillId="0" borderId="0" xfId="0" applyNumberFormat="1" applyFont="1" applyFill="1" applyBorder="1" applyProtection="1"/>
    <xf numFmtId="3" fontId="0" fillId="0" borderId="0" xfId="0" applyNumberFormat="1"/>
    <xf numFmtId="0" fontId="6" fillId="0" borderId="0" xfId="3" applyFont="1"/>
    <xf numFmtId="0" fontId="26" fillId="0" borderId="0" xfId="3" applyFont="1" applyAlignment="1">
      <alignment horizontal="left"/>
    </xf>
    <xf numFmtId="0" fontId="27" fillId="0" borderId="0" xfId="115"/>
    <xf numFmtId="0" fontId="11" fillId="0" borderId="0" xfId="86"/>
    <xf numFmtId="0" fontId="28" fillId="0" borderId="0" xfId="86" applyFont="1" applyAlignment="1">
      <alignment horizontal="center"/>
    </xf>
    <xf numFmtId="0" fontId="11" fillId="0" borderId="0" xfId="86" applyFont="1" applyAlignment="1">
      <alignment horizontal="left"/>
    </xf>
    <xf numFmtId="0" fontId="11" fillId="0" borderId="0" xfId="86" applyFont="1" applyAlignment="1">
      <alignment horizontal="right"/>
    </xf>
    <xf numFmtId="0" fontId="11" fillId="0" borderId="0" xfId="86" applyAlignment="1">
      <alignment horizontal="right"/>
    </xf>
    <xf numFmtId="0" fontId="9" fillId="4" borderId="0" xfId="116" applyFont="1" applyFill="1" applyBorder="1" applyAlignment="1">
      <alignment vertical="center"/>
    </xf>
    <xf numFmtId="0" fontId="9" fillId="6" borderId="0" xfId="116" applyFont="1" applyFill="1" applyBorder="1" applyAlignment="1">
      <alignment vertical="center"/>
    </xf>
    <xf numFmtId="9" fontId="0" fillId="0" borderId="0" xfId="114" applyNumberFormat="1" applyFont="1"/>
    <xf numFmtId="0" fontId="29" fillId="0" borderId="0" xfId="86" applyFont="1"/>
    <xf numFmtId="0" fontId="30" fillId="0" borderId="0" xfId="0" applyFont="1"/>
    <xf numFmtId="0" fontId="28" fillId="0" borderId="0" xfId="86" applyFont="1"/>
    <xf numFmtId="0" fontId="11" fillId="0" borderId="0" xfId="86" applyFont="1" applyFill="1" applyAlignment="1">
      <alignment horizontal="left"/>
    </xf>
    <xf numFmtId="9" fontId="0" fillId="0" borderId="0" xfId="0" applyNumberFormat="1"/>
    <xf numFmtId="0" fontId="28" fillId="0" borderId="0" xfId="3" applyFont="1" applyFill="1" applyBorder="1" applyAlignment="1">
      <alignment vertical="center"/>
    </xf>
    <xf numFmtId="1" fontId="3" fillId="0" borderId="0" xfId="0" applyNumberFormat="1" applyFont="1"/>
    <xf numFmtId="0" fontId="11" fillId="0" borderId="0" xfId="86" applyFont="1" applyAlignment="1">
      <alignment horizontal="center" wrapText="1"/>
    </xf>
    <xf numFmtId="0" fontId="32" fillId="0" borderId="0" xfId="0" applyFont="1"/>
  </cellXfs>
  <cellStyles count="117">
    <cellStyle name="Comma 10" xfId="4"/>
    <cellStyle name="Comma 2" xfId="5"/>
    <cellStyle name="Comma 2 2" xfId="6"/>
    <cellStyle name="Comma 2 2 2" xfId="7"/>
    <cellStyle name="Comma 2 3" xfId="8"/>
    <cellStyle name="Comma 3" xfId="9"/>
    <cellStyle name="Comma 3 2" xfId="10"/>
    <cellStyle name="Comma 3 2 2" xfId="11"/>
    <cellStyle name="Comma 3 3" xfId="12"/>
    <cellStyle name="Comma 4" xfId="13"/>
    <cellStyle name="Comma 4 2" xfId="14"/>
    <cellStyle name="Comma 5" xfId="15"/>
    <cellStyle name="Comma 6" xfId="16"/>
    <cellStyle name="Comma 7" xfId="17"/>
    <cellStyle name="Comma 8" xfId="18"/>
    <cellStyle name="Comma 9" xfId="19"/>
    <cellStyle name="Heading" xfId="20"/>
    <cellStyle name="Heading1" xfId="21"/>
    <cellStyle name="Hipervínculo 2" xfId="22"/>
    <cellStyle name="Hipervínculo 2 2" xfId="23"/>
    <cellStyle name="Hipervínculo 3" xfId="24"/>
    <cellStyle name="Hyperlink" xfId="115" builtinId="8"/>
    <cellStyle name="Millares 10" xfId="25"/>
    <cellStyle name="Millares 10 2" xfId="26"/>
    <cellStyle name="Millares 11" xfId="27"/>
    <cellStyle name="Millares 11 2" xfId="28"/>
    <cellStyle name="Millares 11 2 2" xfId="29"/>
    <cellStyle name="Millares 11 3" xfId="30"/>
    <cellStyle name="Millares 12" xfId="31"/>
    <cellStyle name="Millares 12 2" xfId="32"/>
    <cellStyle name="Millares 12 2 2" xfId="33"/>
    <cellStyle name="Millares 12 3" xfId="34"/>
    <cellStyle name="Millares 13" xfId="35"/>
    <cellStyle name="Millares 13 2" xfId="36"/>
    <cellStyle name="Millares 13 2 2" xfId="37"/>
    <cellStyle name="Millares 13 3" xfId="38"/>
    <cellStyle name="Millares 14" xfId="39"/>
    <cellStyle name="Millares 14 2" xfId="40"/>
    <cellStyle name="Millares 14 2 2" xfId="41"/>
    <cellStyle name="Millares 14 3" xfId="42"/>
    <cellStyle name="Millares 15" xfId="43"/>
    <cellStyle name="Millares 15 2" xfId="44"/>
    <cellStyle name="Millares 15 2 2" xfId="45"/>
    <cellStyle name="Millares 15 3" xfId="46"/>
    <cellStyle name="Millares 16" xfId="47"/>
    <cellStyle name="Millares 16 2" xfId="48"/>
    <cellStyle name="Millares 17" xfId="49"/>
    <cellStyle name="Millares 17 2" xfId="50"/>
    <cellStyle name="Millares 17 3" xfId="51"/>
    <cellStyle name="Millares 17 3 2" xfId="52"/>
    <cellStyle name="Millares 18" xfId="53"/>
    <cellStyle name="Millares 19" xfId="54"/>
    <cellStyle name="Millares 2" xfId="55"/>
    <cellStyle name="Millares 2 2" xfId="56"/>
    <cellStyle name="Millares 2 2 2" xfId="57"/>
    <cellStyle name="Millares 2 3" xfId="58"/>
    <cellStyle name="Millares 20" xfId="59"/>
    <cellStyle name="Millares 21" xfId="60"/>
    <cellStyle name="Millares 22" xfId="61"/>
    <cellStyle name="Millares 23" xfId="62"/>
    <cellStyle name="Millares 24" xfId="63"/>
    <cellStyle name="Millares 25" xfId="64"/>
    <cellStyle name="Millares 26" xfId="65"/>
    <cellStyle name="Millares 3" xfId="66"/>
    <cellStyle name="Millares 3 2" xfId="67"/>
    <cellStyle name="Millares 3 2 2" xfId="68"/>
    <cellStyle name="Millares 3 3" xfId="69"/>
    <cellStyle name="Millares 4" xfId="70"/>
    <cellStyle name="Millares 4 2" xfId="71"/>
    <cellStyle name="Millares 5" xfId="72"/>
    <cellStyle name="Millares 5 2" xfId="73"/>
    <cellStyle name="Millares 5 2 2" xfId="74"/>
    <cellStyle name="Millares 5 3" xfId="75"/>
    <cellStyle name="Millares 6" xfId="76"/>
    <cellStyle name="Millares 6 2" xfId="77"/>
    <cellStyle name="Millares 6 2 2" xfId="78"/>
    <cellStyle name="Millares 6 3" xfId="79"/>
    <cellStyle name="Millares 7" xfId="80"/>
    <cellStyle name="Millares 7 2" xfId="81"/>
    <cellStyle name="Millares 8" xfId="82"/>
    <cellStyle name="Millares 8 2" xfId="83"/>
    <cellStyle name="Millares 9" xfId="84"/>
    <cellStyle name="Millares 9 2" xfId="85"/>
    <cellStyle name="Neutral" xfId="1" builtinId="28" customBuiltin="1"/>
    <cellStyle name="Normal" xfId="0" builtinId="0"/>
    <cellStyle name="Normal 10" xfId="86"/>
    <cellStyle name="Normal 10 2" xfId="87"/>
    <cellStyle name="Normal 11" xfId="88"/>
    <cellStyle name="Normal 11 2" xfId="89"/>
    <cellStyle name="Normal 12" xfId="90"/>
    <cellStyle name="Normal 12 2" xfId="91"/>
    <cellStyle name="Normal 12 3" xfId="92"/>
    <cellStyle name="Normal 12 3 2" xfId="93"/>
    <cellStyle name="Normal 13" xfId="3"/>
    <cellStyle name="Normal 13 2" xfId="116"/>
    <cellStyle name="Normal 2" xfId="94"/>
    <cellStyle name="Normal 2 2" xfId="95"/>
    <cellStyle name="Normal 3" xfId="96"/>
    <cellStyle name="Normal 4" xfId="97"/>
    <cellStyle name="Normal 5" xfId="98"/>
    <cellStyle name="Normal 5 2" xfId="99"/>
    <cellStyle name="Normal 6" xfId="100"/>
    <cellStyle name="Normal 7" xfId="101"/>
    <cellStyle name="Normal 7 2" xfId="102"/>
    <cellStyle name="Normal 8" xfId="103"/>
    <cellStyle name="Normal 8 2" xfId="104"/>
    <cellStyle name="Normal 9" xfId="105"/>
    <cellStyle name="Normal_Aggl_Road" xfId="106"/>
    <cellStyle name="Normal_Sheet1" xfId="107"/>
    <cellStyle name="Notas 2" xfId="108"/>
    <cellStyle name="Notas 2 2" xfId="109"/>
    <cellStyle name="Percent" xfId="114" builtinId="5"/>
    <cellStyle name="Result" xfId="110"/>
    <cellStyle name="Result2" xfId="111"/>
    <cellStyle name="Result2 2" xfId="112"/>
    <cellStyle name="Standard 2" xfId="113"/>
    <cellStyle name="Total" xfId="2" builtinId="25" customBuiltin="1"/>
  </cellStyles>
  <dxfs count="0"/>
  <tableStyles count="0" defaultTableStyle="TableStyleMedium2" defaultPivotStyle="PivotStyleLight16"/>
  <colors>
    <mruColors>
      <color rgb="FF98731E"/>
      <color rgb="FF71A8CA"/>
      <color rgb="FF817569"/>
      <color rgb="FFA89989"/>
      <color rgb="FF9DCFE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Altistus!$B$4</c:f>
              <c:strCache>
                <c:ptCount val="1"/>
                <c:pt idx="0">
                  <c:v>55-59</c:v>
                </c:pt>
              </c:strCache>
            </c:strRef>
          </c:tx>
          <c:invertIfNegative val="0"/>
          <c:cat>
            <c:strRef>
              <c:f>Altistus!$C$3:$L$3</c:f>
              <c:strCache>
                <c:ptCount val="10"/>
                <c:pt idx="0">
                  <c:v>Espoo</c:v>
                </c:pt>
                <c:pt idx="1">
                  <c:v>Helsinki</c:v>
                </c:pt>
                <c:pt idx="2">
                  <c:v>Jyvaskyla</c:v>
                </c:pt>
                <c:pt idx="3">
                  <c:v>Kauniainen</c:v>
                </c:pt>
                <c:pt idx="4">
                  <c:v>Kuopio</c:v>
                </c:pt>
                <c:pt idx="5">
                  <c:v>Lahti</c:v>
                </c:pt>
                <c:pt idx="6">
                  <c:v>Oulu</c:v>
                </c:pt>
                <c:pt idx="7">
                  <c:v>Tampere</c:v>
                </c:pt>
                <c:pt idx="8">
                  <c:v>Turku</c:v>
                </c:pt>
                <c:pt idx="9">
                  <c:v>Vantaa</c:v>
                </c:pt>
              </c:strCache>
            </c:strRef>
          </c:cat>
          <c:val>
            <c:numRef>
              <c:f>Altistus!$C$4:$L$4</c:f>
              <c:numCache>
                <c:formatCode>General</c:formatCode>
                <c:ptCount val="10"/>
                <c:pt idx="0">
                  <c:v>35700</c:v>
                </c:pt>
                <c:pt idx="1">
                  <c:v>85800</c:v>
                </c:pt>
                <c:pt idx="2">
                  <c:v>17300</c:v>
                </c:pt>
                <c:pt idx="3">
                  <c:v>1400</c:v>
                </c:pt>
                <c:pt idx="4">
                  <c:v>17600</c:v>
                </c:pt>
                <c:pt idx="5">
                  <c:v>13400</c:v>
                </c:pt>
                <c:pt idx="6">
                  <c:v>24300</c:v>
                </c:pt>
                <c:pt idx="7">
                  <c:v>19100</c:v>
                </c:pt>
                <c:pt idx="8">
                  <c:v>24500</c:v>
                </c:pt>
                <c:pt idx="9">
                  <c:v>35700</c:v>
                </c:pt>
              </c:numCache>
            </c:numRef>
          </c:val>
        </c:ser>
        <c:ser>
          <c:idx val="1"/>
          <c:order val="1"/>
          <c:tx>
            <c:strRef>
              <c:f>Altistus!$B$5</c:f>
              <c:strCache>
                <c:ptCount val="1"/>
                <c:pt idx="0">
                  <c:v>60-64</c:v>
                </c:pt>
              </c:strCache>
            </c:strRef>
          </c:tx>
          <c:invertIfNegative val="0"/>
          <c:cat>
            <c:strRef>
              <c:f>Altistus!$C$3:$L$3</c:f>
              <c:strCache>
                <c:ptCount val="10"/>
                <c:pt idx="0">
                  <c:v>Espoo</c:v>
                </c:pt>
                <c:pt idx="1">
                  <c:v>Helsinki</c:v>
                </c:pt>
                <c:pt idx="2">
                  <c:v>Jyvaskyla</c:v>
                </c:pt>
                <c:pt idx="3">
                  <c:v>Kauniainen</c:v>
                </c:pt>
                <c:pt idx="4">
                  <c:v>Kuopio</c:v>
                </c:pt>
                <c:pt idx="5">
                  <c:v>Lahti</c:v>
                </c:pt>
                <c:pt idx="6">
                  <c:v>Oulu</c:v>
                </c:pt>
                <c:pt idx="7">
                  <c:v>Tampere</c:v>
                </c:pt>
                <c:pt idx="8">
                  <c:v>Turku</c:v>
                </c:pt>
                <c:pt idx="9">
                  <c:v>Vantaa</c:v>
                </c:pt>
              </c:strCache>
            </c:strRef>
          </c:cat>
          <c:val>
            <c:numRef>
              <c:f>Altistus!$C$5:$L$5</c:f>
              <c:numCache>
                <c:formatCode>General</c:formatCode>
                <c:ptCount val="10"/>
                <c:pt idx="0">
                  <c:v>15900</c:v>
                </c:pt>
                <c:pt idx="1">
                  <c:v>50700</c:v>
                </c:pt>
                <c:pt idx="2">
                  <c:v>8800</c:v>
                </c:pt>
                <c:pt idx="3">
                  <c:v>600</c:v>
                </c:pt>
                <c:pt idx="4">
                  <c:v>10600</c:v>
                </c:pt>
                <c:pt idx="5">
                  <c:v>5600</c:v>
                </c:pt>
                <c:pt idx="6">
                  <c:v>9400</c:v>
                </c:pt>
                <c:pt idx="7">
                  <c:v>11200</c:v>
                </c:pt>
                <c:pt idx="8">
                  <c:v>15400</c:v>
                </c:pt>
                <c:pt idx="9">
                  <c:v>15500</c:v>
                </c:pt>
              </c:numCache>
            </c:numRef>
          </c:val>
        </c:ser>
        <c:ser>
          <c:idx val="2"/>
          <c:order val="2"/>
          <c:tx>
            <c:strRef>
              <c:f>Altistus!$B$6</c:f>
              <c:strCache>
                <c:ptCount val="1"/>
                <c:pt idx="0">
                  <c:v>65-69</c:v>
                </c:pt>
              </c:strCache>
            </c:strRef>
          </c:tx>
          <c:invertIfNegative val="0"/>
          <c:cat>
            <c:strRef>
              <c:f>Altistus!$C$3:$L$3</c:f>
              <c:strCache>
                <c:ptCount val="10"/>
                <c:pt idx="0">
                  <c:v>Espoo</c:v>
                </c:pt>
                <c:pt idx="1">
                  <c:v>Helsinki</c:v>
                </c:pt>
                <c:pt idx="2">
                  <c:v>Jyvaskyla</c:v>
                </c:pt>
                <c:pt idx="3">
                  <c:v>Kauniainen</c:v>
                </c:pt>
                <c:pt idx="4">
                  <c:v>Kuopio</c:v>
                </c:pt>
                <c:pt idx="5">
                  <c:v>Lahti</c:v>
                </c:pt>
                <c:pt idx="6">
                  <c:v>Oulu</c:v>
                </c:pt>
                <c:pt idx="7">
                  <c:v>Tampere</c:v>
                </c:pt>
                <c:pt idx="8">
                  <c:v>Turku</c:v>
                </c:pt>
                <c:pt idx="9">
                  <c:v>Vantaa</c:v>
                </c:pt>
              </c:strCache>
            </c:strRef>
          </c:cat>
          <c:val>
            <c:numRef>
              <c:f>Altistus!$C$6:$L$6</c:f>
              <c:numCache>
                <c:formatCode>General</c:formatCode>
                <c:ptCount val="10"/>
                <c:pt idx="0">
                  <c:v>3200</c:v>
                </c:pt>
                <c:pt idx="1">
                  <c:v>18400</c:v>
                </c:pt>
                <c:pt idx="2">
                  <c:v>4100</c:v>
                </c:pt>
                <c:pt idx="3">
                  <c:v>0</c:v>
                </c:pt>
                <c:pt idx="4">
                  <c:v>3500</c:v>
                </c:pt>
                <c:pt idx="5">
                  <c:v>2900</c:v>
                </c:pt>
                <c:pt idx="6">
                  <c:v>2800</c:v>
                </c:pt>
                <c:pt idx="7">
                  <c:v>4600</c:v>
                </c:pt>
                <c:pt idx="8">
                  <c:v>7600</c:v>
                </c:pt>
                <c:pt idx="9">
                  <c:v>3200</c:v>
                </c:pt>
              </c:numCache>
            </c:numRef>
          </c:val>
        </c:ser>
        <c:ser>
          <c:idx val="3"/>
          <c:order val="3"/>
          <c:tx>
            <c:strRef>
              <c:f>Altistus!$B$7</c:f>
              <c:strCache>
                <c:ptCount val="1"/>
                <c:pt idx="0">
                  <c:v>70-74</c:v>
                </c:pt>
              </c:strCache>
            </c:strRef>
          </c:tx>
          <c:invertIfNegative val="0"/>
          <c:cat>
            <c:strRef>
              <c:f>Altistus!$C$3:$L$3</c:f>
              <c:strCache>
                <c:ptCount val="10"/>
                <c:pt idx="0">
                  <c:v>Espoo</c:v>
                </c:pt>
                <c:pt idx="1">
                  <c:v>Helsinki</c:v>
                </c:pt>
                <c:pt idx="2">
                  <c:v>Jyvaskyla</c:v>
                </c:pt>
                <c:pt idx="3">
                  <c:v>Kauniainen</c:v>
                </c:pt>
                <c:pt idx="4">
                  <c:v>Kuopio</c:v>
                </c:pt>
                <c:pt idx="5">
                  <c:v>Lahti</c:v>
                </c:pt>
                <c:pt idx="6">
                  <c:v>Oulu</c:v>
                </c:pt>
                <c:pt idx="7">
                  <c:v>Tampere</c:v>
                </c:pt>
                <c:pt idx="8">
                  <c:v>Turku</c:v>
                </c:pt>
                <c:pt idx="9">
                  <c:v>Vantaa</c:v>
                </c:pt>
              </c:strCache>
            </c:strRef>
          </c:cat>
          <c:val>
            <c:numRef>
              <c:f>Altistus!$C$7:$L$7</c:f>
              <c:numCache>
                <c:formatCode>General</c:formatCode>
                <c:ptCount val="10"/>
                <c:pt idx="0">
                  <c:v>200</c:v>
                </c:pt>
                <c:pt idx="1">
                  <c:v>8200</c:v>
                </c:pt>
                <c:pt idx="2">
                  <c:v>300</c:v>
                </c:pt>
                <c:pt idx="3">
                  <c:v>0</c:v>
                </c:pt>
                <c:pt idx="4">
                  <c:v>400</c:v>
                </c:pt>
                <c:pt idx="5">
                  <c:v>900</c:v>
                </c:pt>
                <c:pt idx="6">
                  <c:v>500</c:v>
                </c:pt>
                <c:pt idx="7">
                  <c:v>100</c:v>
                </c:pt>
                <c:pt idx="8">
                  <c:v>2600</c:v>
                </c:pt>
                <c:pt idx="9">
                  <c:v>300</c:v>
                </c:pt>
              </c:numCache>
            </c:numRef>
          </c:val>
        </c:ser>
        <c:ser>
          <c:idx val="4"/>
          <c:order val="4"/>
          <c:tx>
            <c:strRef>
              <c:f>Altistus!$B$8</c:f>
              <c:strCache>
                <c:ptCount val="1"/>
                <c:pt idx="0">
                  <c:v>&gt;75</c:v>
                </c:pt>
              </c:strCache>
            </c:strRef>
          </c:tx>
          <c:invertIfNegative val="0"/>
          <c:cat>
            <c:strRef>
              <c:f>Altistus!$C$3:$L$3</c:f>
              <c:strCache>
                <c:ptCount val="10"/>
                <c:pt idx="0">
                  <c:v>Espoo</c:v>
                </c:pt>
                <c:pt idx="1">
                  <c:v>Helsinki</c:v>
                </c:pt>
                <c:pt idx="2">
                  <c:v>Jyvaskyla</c:v>
                </c:pt>
                <c:pt idx="3">
                  <c:v>Kauniainen</c:v>
                </c:pt>
                <c:pt idx="4">
                  <c:v>Kuopio</c:v>
                </c:pt>
                <c:pt idx="5">
                  <c:v>Lahti</c:v>
                </c:pt>
                <c:pt idx="6">
                  <c:v>Oulu</c:v>
                </c:pt>
                <c:pt idx="7">
                  <c:v>Tampere</c:v>
                </c:pt>
                <c:pt idx="8">
                  <c:v>Turku</c:v>
                </c:pt>
                <c:pt idx="9">
                  <c:v>Vantaa</c:v>
                </c:pt>
              </c:strCache>
            </c:strRef>
          </c:cat>
          <c:val>
            <c:numRef>
              <c:f>Altistus!$C$8:$L$8</c:f>
              <c:numCache>
                <c:formatCode>General</c:formatCode>
                <c:ptCount val="10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801344"/>
        <c:axId val="161802880"/>
      </c:barChart>
      <c:catAx>
        <c:axId val="161801344"/>
        <c:scaling>
          <c:orientation val="minMax"/>
        </c:scaling>
        <c:delete val="0"/>
        <c:axPos val="b"/>
        <c:majorTickMark val="out"/>
        <c:minorTickMark val="none"/>
        <c:tickLblPos val="nextTo"/>
        <c:crossAx val="161802880"/>
        <c:crosses val="autoZero"/>
        <c:auto val="1"/>
        <c:lblAlgn val="ctr"/>
        <c:lblOffset val="100"/>
        <c:noMultiLvlLbl val="0"/>
      </c:catAx>
      <c:valAx>
        <c:axId val="1618028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1801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803517981305"/>
          <c:y val="6.0659813356663747E-2"/>
          <c:w val="0.71688648293963253"/>
          <c:h val="0.70067621755613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IHD!$D$38</c:f>
              <c:strCache>
                <c:ptCount val="1"/>
                <c:pt idx="0">
                  <c:v>PAF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9237463738085371E-3"/>
                  <c:y val="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0.15%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9239766081871343E-3"/>
                  <c:y val="2.77777777777777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0.47%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3888888888888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0.29%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9239766081871881E-3"/>
                  <c:y val="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0.08%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046875719482434E-7"/>
                  <c:y val="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0.35%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8479532163742687E-3"/>
                  <c:y val="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0.36%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8479532163742687E-3"/>
                  <c:y val="9.259259259259258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0.19%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771929824561403E-3"/>
                  <c:y val="4.629629629629629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0.19%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721123712016836E-16"/>
                  <c:y val="1.3888888888888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0.55%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9237463738085371E-3"/>
                  <c:y val="9.259259259259258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0.20%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IHD!$C$39:$C$48</c:f>
              <c:strCache>
                <c:ptCount val="10"/>
                <c:pt idx="0">
                  <c:v>Espoo</c:v>
                </c:pt>
                <c:pt idx="1">
                  <c:v>Helsinki</c:v>
                </c:pt>
                <c:pt idx="2">
                  <c:v>Jyvaskyla</c:v>
                </c:pt>
                <c:pt idx="3">
                  <c:v>Kauniainen</c:v>
                </c:pt>
                <c:pt idx="4">
                  <c:v>Kuopio</c:v>
                </c:pt>
                <c:pt idx="5">
                  <c:v>Lahti</c:v>
                </c:pt>
                <c:pt idx="6">
                  <c:v>Oulu</c:v>
                </c:pt>
                <c:pt idx="7">
                  <c:v>Tampere</c:v>
                </c:pt>
                <c:pt idx="8">
                  <c:v>Turku</c:v>
                </c:pt>
                <c:pt idx="9">
                  <c:v>Vantaa</c:v>
                </c:pt>
              </c:strCache>
            </c:strRef>
          </c:cat>
          <c:val>
            <c:numRef>
              <c:f>IHD!$D$39:$D$48</c:f>
              <c:numCache>
                <c:formatCode>0.00%</c:formatCode>
                <c:ptCount val="10"/>
                <c:pt idx="0">
                  <c:v>1.5269458196989708E-3</c:v>
                </c:pt>
                <c:pt idx="1">
                  <c:v>4.6966565711680681E-3</c:v>
                </c:pt>
                <c:pt idx="2">
                  <c:v>2.8766523693002197E-3</c:v>
                </c:pt>
                <c:pt idx="3">
                  <c:v>7.5843761850585378E-4</c:v>
                </c:pt>
                <c:pt idx="4">
                  <c:v>3.5266158175117899E-3</c:v>
                </c:pt>
                <c:pt idx="5">
                  <c:v>3.5985053689929357E-3</c:v>
                </c:pt>
                <c:pt idx="6">
                  <c:v>1.9380575686050109E-3</c:v>
                </c:pt>
                <c:pt idx="7">
                  <c:v>1.8856689602395639E-3</c:v>
                </c:pt>
                <c:pt idx="8">
                  <c:v>5.5002722854106643E-3</c:v>
                </c:pt>
                <c:pt idx="9">
                  <c:v>1.9657932443122015E-3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162229248"/>
        <c:axId val="162231040"/>
      </c:barChart>
      <c:catAx>
        <c:axId val="162229248"/>
        <c:scaling>
          <c:orientation val="minMax"/>
        </c:scaling>
        <c:delete val="0"/>
        <c:axPos val="b"/>
        <c:majorTickMark val="out"/>
        <c:minorTickMark val="none"/>
        <c:tickLblPos val="nextTo"/>
        <c:crossAx val="162231040"/>
        <c:crosses val="autoZero"/>
        <c:auto val="1"/>
        <c:lblAlgn val="ctr"/>
        <c:lblOffset val="100"/>
        <c:noMultiLvlLbl val="0"/>
      </c:catAx>
      <c:valAx>
        <c:axId val="162231040"/>
        <c:scaling>
          <c:orientation val="minMax"/>
        </c:scaling>
        <c:delete val="0"/>
        <c:axPos val="l"/>
        <c:majorGridlines/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Väestösyyosuus (PAF)</a:t>
                </a:r>
              </a:p>
            </c:rich>
          </c:tx>
          <c:layout>
            <c:manualLayout>
              <c:xMode val="edge"/>
              <c:yMode val="edge"/>
              <c:x val="2.7792973246765211E-2"/>
              <c:y val="0.17784959171770195"/>
            </c:manualLayout>
          </c:layout>
          <c:overlay val="0"/>
        </c:title>
        <c:numFmt formatCode="0.0\ %" sourceLinked="0"/>
        <c:majorTickMark val="out"/>
        <c:minorTickMark val="none"/>
        <c:tickLblPos val="nextTo"/>
        <c:crossAx val="162229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04396325459317"/>
          <c:y val="5.1400554097404488E-2"/>
          <c:w val="0.64786059827126852"/>
          <c:h val="0.837249198016914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Tautitaakka!$B$34</c:f>
              <c:strCache>
                <c:ptCount val="1"/>
                <c:pt idx="0">
                  <c:v>Tie</c:v>
                </c:pt>
              </c:strCache>
            </c:strRef>
          </c:tx>
          <c:spPr>
            <a:solidFill>
              <a:srgbClr val="98731E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cat>
            <c:strRef>
              <c:f>Tautitaakka!$C$33:$E$33</c:f>
              <c:strCache>
                <c:ptCount val="3"/>
                <c:pt idx="0">
                  <c:v>Kiusaantuneet</c:v>
                </c:pt>
                <c:pt idx="1">
                  <c:v>Unihäiriöiset</c:v>
                </c:pt>
                <c:pt idx="2">
                  <c:v>Iskeeminen sydänsairaus</c:v>
                </c:pt>
              </c:strCache>
            </c:strRef>
          </c:cat>
          <c:val>
            <c:numRef>
              <c:f>Tautitaakka!$C$34:$E$34</c:f>
              <c:numCache>
                <c:formatCode>0</c:formatCode>
                <c:ptCount val="3"/>
                <c:pt idx="0">
                  <c:v>1057.1881742740002</c:v>
                </c:pt>
                <c:pt idx="1">
                  <c:v>1331.4668108000005</c:v>
                </c:pt>
                <c:pt idx="2">
                  <c:v>156.28854988618119</c:v>
                </c:pt>
              </c:numCache>
            </c:numRef>
          </c:val>
        </c:ser>
        <c:ser>
          <c:idx val="1"/>
          <c:order val="1"/>
          <c:tx>
            <c:strRef>
              <c:f>Tautitaakka!$B$35</c:f>
              <c:strCache>
                <c:ptCount val="1"/>
                <c:pt idx="0">
                  <c:v>Raide</c:v>
                </c:pt>
              </c:strCache>
            </c:strRef>
          </c:tx>
          <c:spPr>
            <a:solidFill>
              <a:srgbClr val="817569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cat>
            <c:strRef>
              <c:f>Tautitaakka!$C$33:$E$33</c:f>
              <c:strCache>
                <c:ptCount val="3"/>
                <c:pt idx="0">
                  <c:v>Kiusaantuneet</c:v>
                </c:pt>
                <c:pt idx="1">
                  <c:v>Unihäiriöiset</c:v>
                </c:pt>
                <c:pt idx="2">
                  <c:v>Iskeeminen sydänsairaus</c:v>
                </c:pt>
              </c:strCache>
            </c:strRef>
          </c:cat>
          <c:val>
            <c:numRef>
              <c:f>Tautitaakka!$C$35:$E$35</c:f>
              <c:numCache>
                <c:formatCode>0</c:formatCode>
                <c:ptCount val="3"/>
                <c:pt idx="0">
                  <c:v>96.031464386249979</c:v>
                </c:pt>
                <c:pt idx="1">
                  <c:v>170.594627</c:v>
                </c:pt>
                <c:pt idx="2" formatCode="General">
                  <c:v>0</c:v>
                </c:pt>
              </c:numCache>
            </c:numRef>
          </c:val>
        </c:ser>
        <c:ser>
          <c:idx val="2"/>
          <c:order val="2"/>
          <c:tx>
            <c:strRef>
              <c:f>Tautitaakka!$B$36</c:f>
              <c:strCache>
                <c:ptCount val="1"/>
                <c:pt idx="0">
                  <c:v>Lentokone</c:v>
                </c:pt>
              </c:strCache>
            </c:strRef>
          </c:tx>
          <c:spPr>
            <a:solidFill>
              <a:srgbClr val="71A8CA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cat>
            <c:strRef>
              <c:f>Tautitaakka!$C$33:$E$33</c:f>
              <c:strCache>
                <c:ptCount val="3"/>
                <c:pt idx="0">
                  <c:v>Kiusaantuneet</c:v>
                </c:pt>
                <c:pt idx="1">
                  <c:v>Unihäiriöiset</c:v>
                </c:pt>
                <c:pt idx="2">
                  <c:v>Iskeeminen sydänsairaus</c:v>
                </c:pt>
              </c:strCache>
            </c:strRef>
          </c:cat>
          <c:val>
            <c:numRef>
              <c:f>Tautitaakka!$C$36:$E$36</c:f>
              <c:numCache>
                <c:formatCode>0</c:formatCode>
                <c:ptCount val="3"/>
                <c:pt idx="0">
                  <c:v>45.386631125000001</c:v>
                </c:pt>
                <c:pt idx="1">
                  <c:v>223.5125956</c:v>
                </c:pt>
                <c:pt idx="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overlap val="100"/>
        <c:axId val="165566720"/>
        <c:axId val="165568512"/>
      </c:barChart>
      <c:catAx>
        <c:axId val="165566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65568512"/>
        <c:crosses val="autoZero"/>
        <c:auto val="1"/>
        <c:lblAlgn val="ctr"/>
        <c:lblOffset val="100"/>
        <c:noMultiLvlLbl val="0"/>
      </c:catAx>
      <c:valAx>
        <c:axId val="165568512"/>
        <c:scaling>
          <c:orientation val="minMax"/>
        </c:scaling>
        <c:delete val="0"/>
        <c:axPos val="l"/>
        <c:majorGridlines/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Haittapainotetut elinvuodet (DALY)</a:t>
                </a:r>
              </a:p>
            </c:rich>
          </c:tx>
          <c:layout>
            <c:manualLayout>
              <c:xMode val="edge"/>
              <c:yMode val="edge"/>
              <c:x val="2.9986001749781277E-2"/>
              <c:y val="9.493256051326919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65566720"/>
        <c:crosses val="autoZero"/>
        <c:crossBetween val="between"/>
        <c:majorUnit val="200"/>
        <c:minorUnit val="50"/>
      </c:valAx>
    </c:plotArea>
    <c:legend>
      <c:legendPos val="r"/>
      <c:layout>
        <c:manualLayout>
          <c:xMode val="edge"/>
          <c:yMode val="edge"/>
          <c:x val="0.81640332458442688"/>
          <c:y val="0.31886847477398661"/>
          <c:w val="0.16191826310476642"/>
          <c:h val="0.2511515748031495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141516</xdr:colOff>
      <xdr:row>2</xdr:row>
      <xdr:rowOff>119743</xdr:rowOff>
    </xdr:from>
    <xdr:to>
      <xdr:col>26</xdr:col>
      <xdr:colOff>446316</xdr:colOff>
      <xdr:row>17</xdr:row>
      <xdr:rowOff>87086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287866</xdr:colOff>
      <xdr:row>35</xdr:row>
      <xdr:rowOff>165099</xdr:rowOff>
    </xdr:from>
    <xdr:to>
      <xdr:col>11</xdr:col>
      <xdr:colOff>364066</xdr:colOff>
      <xdr:row>50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609600</xdr:colOff>
      <xdr:row>33</xdr:row>
      <xdr:rowOff>159659</xdr:rowOff>
    </xdr:from>
    <xdr:to>
      <xdr:col>14</xdr:col>
      <xdr:colOff>433614</xdr:colOff>
      <xdr:row>48</xdr:row>
      <xdr:rowOff>127002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cdr.eionet.europa.eu/fi/eu/noise/df8/2017/envwjdfiq/FI_d_DF4_8_MAir_2017_del.xls/manage_docum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tabSelected="1" workbookViewId="0">
      <selection activeCell="A2" sqref="A2"/>
    </sheetView>
  </sheetViews>
  <sheetFormatPr defaultRowHeight="14.4" x14ac:dyDescent="0.3"/>
  <cols>
    <col min="2" max="2" width="12.21875" customWidth="1"/>
  </cols>
  <sheetData>
    <row r="2" spans="2:13" x14ac:dyDescent="0.3">
      <c r="B2" t="s">
        <v>156</v>
      </c>
    </row>
    <row r="4" spans="2:13" x14ac:dyDescent="0.3">
      <c r="B4" t="s">
        <v>161</v>
      </c>
    </row>
    <row r="5" spans="2:13" x14ac:dyDescent="0.3">
      <c r="B5" t="s">
        <v>157</v>
      </c>
    </row>
    <row r="7" spans="2:13" x14ac:dyDescent="0.3">
      <c r="B7" t="s">
        <v>158</v>
      </c>
    </row>
    <row r="8" spans="2:13" x14ac:dyDescent="0.3">
      <c r="B8" t="s">
        <v>162</v>
      </c>
      <c r="C8" t="s">
        <v>168</v>
      </c>
    </row>
    <row r="9" spans="2:13" x14ac:dyDescent="0.3">
      <c r="B9" t="s">
        <v>163</v>
      </c>
      <c r="C9" t="s">
        <v>169</v>
      </c>
    </row>
    <row r="10" spans="2:13" x14ac:dyDescent="0.3">
      <c r="B10" t="s">
        <v>164</v>
      </c>
      <c r="C10" t="s">
        <v>190</v>
      </c>
    </row>
    <row r="11" spans="2:13" x14ac:dyDescent="0.3">
      <c r="B11" t="s">
        <v>165</v>
      </c>
      <c r="C11" t="s">
        <v>189</v>
      </c>
    </row>
    <row r="12" spans="2:13" x14ac:dyDescent="0.3">
      <c r="B12" t="s">
        <v>166</v>
      </c>
      <c r="C12" t="s">
        <v>191</v>
      </c>
    </row>
    <row r="13" spans="2:13" x14ac:dyDescent="0.3">
      <c r="B13" t="s">
        <v>167</v>
      </c>
      <c r="C13" t="s">
        <v>192</v>
      </c>
    </row>
    <row r="14" spans="2:13" x14ac:dyDescent="0.3">
      <c r="B14" t="s">
        <v>170</v>
      </c>
      <c r="C14" t="s">
        <v>193</v>
      </c>
    </row>
    <row r="16" spans="2:13" x14ac:dyDescent="0.3">
      <c r="B16" s="87" t="s">
        <v>159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</row>
    <row r="17" spans="2:13" x14ac:dyDescent="0.3">
      <c r="B17" s="87" t="s">
        <v>160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zoomScale="80" zoomScaleNormal="80" workbookViewId="0">
      <selection activeCell="B39" sqref="B39"/>
    </sheetView>
  </sheetViews>
  <sheetFormatPr defaultRowHeight="14.4" x14ac:dyDescent="0.3"/>
  <sheetData>
    <row r="1" spans="1:31" ht="15" thickBot="1" x14ac:dyDescent="0.35">
      <c r="B1" s="22" t="s">
        <v>41</v>
      </c>
      <c r="C1" s="22"/>
      <c r="D1" s="22"/>
      <c r="E1" s="63"/>
      <c r="F1" s="75"/>
      <c r="G1" s="76" t="s">
        <v>154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"/>
      <c r="AC1" s="1"/>
      <c r="AD1" s="1"/>
      <c r="AE1" s="1"/>
    </row>
    <row r="2" spans="1:31" ht="15" thickBot="1" x14ac:dyDescent="0.35">
      <c r="C2" s="3"/>
      <c r="D2" s="3"/>
      <c r="E2" s="3"/>
      <c r="F2" s="3"/>
      <c r="G2" s="33"/>
      <c r="H2" s="23" t="s">
        <v>0</v>
      </c>
      <c r="I2" s="24"/>
      <c r="J2" s="24"/>
      <c r="K2" s="24"/>
      <c r="L2" s="25"/>
      <c r="M2" s="26" t="s">
        <v>1</v>
      </c>
      <c r="N2" s="27"/>
      <c r="O2" s="27"/>
      <c r="P2" s="27"/>
      <c r="Q2" s="28"/>
      <c r="R2" s="29" t="s">
        <v>2</v>
      </c>
      <c r="S2" s="29"/>
      <c r="T2" s="29"/>
      <c r="U2" s="29"/>
      <c r="V2" s="29"/>
      <c r="W2" s="30" t="s">
        <v>3</v>
      </c>
      <c r="X2" s="31"/>
      <c r="Y2" s="31"/>
      <c r="Z2" s="31"/>
      <c r="AA2" s="32"/>
      <c r="AB2" s="4"/>
      <c r="AC2" s="4"/>
      <c r="AD2" s="4"/>
      <c r="AE2" s="4"/>
    </row>
    <row r="3" spans="1:31" x14ac:dyDescent="0.3">
      <c r="B3" s="19" t="s">
        <v>4</v>
      </c>
      <c r="C3" s="20" t="s">
        <v>5</v>
      </c>
      <c r="D3" s="20" t="s">
        <v>6</v>
      </c>
      <c r="E3" s="21" t="s">
        <v>7</v>
      </c>
      <c r="F3" s="21" t="s">
        <v>8</v>
      </c>
      <c r="G3" s="34" t="s">
        <v>9</v>
      </c>
      <c r="H3" s="5" t="s">
        <v>10</v>
      </c>
      <c r="I3" s="6" t="s">
        <v>11</v>
      </c>
      <c r="J3" s="6" t="s">
        <v>12</v>
      </c>
      <c r="K3" s="6" t="s">
        <v>13</v>
      </c>
      <c r="L3" s="7" t="s">
        <v>14</v>
      </c>
      <c r="M3" s="8" t="s">
        <v>10</v>
      </c>
      <c r="N3" s="9" t="s">
        <v>11</v>
      </c>
      <c r="O3" s="9" t="s">
        <v>12</v>
      </c>
      <c r="P3" s="9" t="s">
        <v>13</v>
      </c>
      <c r="Q3" s="10" t="s">
        <v>14</v>
      </c>
      <c r="R3" s="11" t="s">
        <v>15</v>
      </c>
      <c r="S3" s="12" t="s">
        <v>10</v>
      </c>
      <c r="T3" s="12" t="s">
        <v>11</v>
      </c>
      <c r="U3" s="12" t="s">
        <v>12</v>
      </c>
      <c r="V3" s="13" t="s">
        <v>16</v>
      </c>
      <c r="W3" s="14" t="s">
        <v>15</v>
      </c>
      <c r="X3" s="15" t="s">
        <v>10</v>
      </c>
      <c r="Y3" s="15" t="s">
        <v>11</v>
      </c>
      <c r="Z3" s="15" t="s">
        <v>12</v>
      </c>
      <c r="AA3" s="16" t="s">
        <v>16</v>
      </c>
      <c r="AB3" s="17" t="s">
        <v>17</v>
      </c>
      <c r="AC3" s="17" t="s">
        <v>18</v>
      </c>
      <c r="AD3" s="17" t="s">
        <v>19</v>
      </c>
      <c r="AE3" s="17" t="s">
        <v>20</v>
      </c>
    </row>
    <row r="4" spans="1:31" x14ac:dyDescent="0.3">
      <c r="A4" t="s">
        <v>36</v>
      </c>
      <c r="B4" s="35" t="s">
        <v>21</v>
      </c>
      <c r="C4" s="18" t="s">
        <v>22</v>
      </c>
      <c r="D4" s="18" t="s">
        <v>23</v>
      </c>
      <c r="E4" s="18" t="s">
        <v>24</v>
      </c>
      <c r="F4" s="18">
        <v>273446</v>
      </c>
      <c r="G4" s="37">
        <v>534</v>
      </c>
      <c r="H4" s="35">
        <v>35700</v>
      </c>
      <c r="I4" s="18">
        <v>15900</v>
      </c>
      <c r="J4" s="18">
        <v>3200</v>
      </c>
      <c r="K4" s="18">
        <v>200</v>
      </c>
      <c r="L4" s="36">
        <v>0</v>
      </c>
      <c r="M4" s="35">
        <v>17300</v>
      </c>
      <c r="N4" s="18">
        <v>7100</v>
      </c>
      <c r="O4" s="18">
        <v>1400</v>
      </c>
      <c r="P4" s="18">
        <v>100</v>
      </c>
      <c r="Q4" s="36">
        <v>0</v>
      </c>
      <c r="R4" s="35">
        <v>19100</v>
      </c>
      <c r="S4" s="18">
        <v>4800</v>
      </c>
      <c r="T4" s="18">
        <v>300</v>
      </c>
      <c r="U4" s="18">
        <v>0</v>
      </c>
      <c r="V4" s="36">
        <v>0</v>
      </c>
      <c r="W4" s="35">
        <v>10200</v>
      </c>
      <c r="X4" s="18">
        <v>2800</v>
      </c>
      <c r="Y4" s="18">
        <v>300</v>
      </c>
      <c r="Z4" s="18">
        <v>0</v>
      </c>
      <c r="AA4" s="36">
        <v>0</v>
      </c>
      <c r="AB4" s="35" t="s">
        <v>22</v>
      </c>
      <c r="AC4" s="18" t="s">
        <v>22</v>
      </c>
      <c r="AD4" s="18"/>
      <c r="AE4" s="36" t="s">
        <v>25</v>
      </c>
    </row>
    <row r="5" spans="1:31" x14ac:dyDescent="0.3">
      <c r="A5" t="s">
        <v>36</v>
      </c>
      <c r="B5" s="35" t="s">
        <v>21</v>
      </c>
      <c r="C5" s="18" t="s">
        <v>22</v>
      </c>
      <c r="D5" s="18" t="s">
        <v>23</v>
      </c>
      <c r="E5" s="18" t="s">
        <v>26</v>
      </c>
      <c r="F5" s="18">
        <v>620715</v>
      </c>
      <c r="G5" s="37">
        <v>216</v>
      </c>
      <c r="H5" s="35">
        <v>85800</v>
      </c>
      <c r="I5" s="18">
        <v>50700</v>
      </c>
      <c r="J5" s="18">
        <v>18400</v>
      </c>
      <c r="K5" s="18">
        <v>8200</v>
      </c>
      <c r="L5" s="36">
        <v>100</v>
      </c>
      <c r="M5" s="35">
        <v>34000</v>
      </c>
      <c r="N5" s="18">
        <v>13700</v>
      </c>
      <c r="O5" s="18">
        <v>3200</v>
      </c>
      <c r="P5" s="18">
        <v>600</v>
      </c>
      <c r="Q5" s="36">
        <v>0</v>
      </c>
      <c r="R5" s="35">
        <v>59300</v>
      </c>
      <c r="S5" s="18">
        <v>20400</v>
      </c>
      <c r="T5" s="18">
        <v>9600</v>
      </c>
      <c r="U5" s="18">
        <v>400</v>
      </c>
      <c r="V5" s="36">
        <v>0</v>
      </c>
      <c r="W5" s="35">
        <v>22300</v>
      </c>
      <c r="X5" s="18">
        <v>5700</v>
      </c>
      <c r="Y5" s="18">
        <v>1200</v>
      </c>
      <c r="Z5" s="18">
        <v>200</v>
      </c>
      <c r="AA5" s="36">
        <v>0</v>
      </c>
      <c r="AB5" s="35" t="s">
        <v>22</v>
      </c>
      <c r="AC5" s="18" t="s">
        <v>22</v>
      </c>
      <c r="AD5" s="18"/>
      <c r="AE5" s="36" t="s">
        <v>25</v>
      </c>
    </row>
    <row r="6" spans="1:31" x14ac:dyDescent="0.3">
      <c r="A6" t="s">
        <v>36</v>
      </c>
      <c r="B6" s="35" t="s">
        <v>21</v>
      </c>
      <c r="C6" s="18" t="s">
        <v>22</v>
      </c>
      <c r="D6" s="18" t="s">
        <v>23</v>
      </c>
      <c r="E6" s="18" t="s">
        <v>27</v>
      </c>
      <c r="F6" s="18">
        <v>135780</v>
      </c>
      <c r="G6" s="37">
        <v>1467</v>
      </c>
      <c r="H6" s="35">
        <v>17300</v>
      </c>
      <c r="I6" s="18">
        <v>8800</v>
      </c>
      <c r="J6" s="18">
        <v>4100</v>
      </c>
      <c r="K6" s="18">
        <v>300</v>
      </c>
      <c r="L6" s="36">
        <v>0</v>
      </c>
      <c r="M6" s="35">
        <v>6400</v>
      </c>
      <c r="N6" s="18">
        <v>2200</v>
      </c>
      <c r="O6" s="18">
        <v>900</v>
      </c>
      <c r="P6" s="18">
        <v>100</v>
      </c>
      <c r="Q6" s="36">
        <v>0</v>
      </c>
      <c r="R6" s="35">
        <v>11200</v>
      </c>
      <c r="S6" s="18">
        <v>5000</v>
      </c>
      <c r="T6" s="18">
        <v>900</v>
      </c>
      <c r="U6" s="18">
        <v>0</v>
      </c>
      <c r="V6" s="36">
        <v>0</v>
      </c>
      <c r="W6" s="35">
        <v>3600</v>
      </c>
      <c r="X6" s="18">
        <v>1400</v>
      </c>
      <c r="Y6" s="18">
        <v>200</v>
      </c>
      <c r="Z6" s="18">
        <v>0</v>
      </c>
      <c r="AA6" s="36">
        <v>0</v>
      </c>
      <c r="AB6" s="35" t="s">
        <v>22</v>
      </c>
      <c r="AC6" s="18" t="s">
        <v>22</v>
      </c>
      <c r="AD6" s="18"/>
      <c r="AE6" s="36" t="s">
        <v>25</v>
      </c>
    </row>
    <row r="7" spans="1:31" x14ac:dyDescent="0.3">
      <c r="A7" t="s">
        <v>36</v>
      </c>
      <c r="B7" s="35" t="s">
        <v>21</v>
      </c>
      <c r="C7" s="18" t="s">
        <v>22</v>
      </c>
      <c r="D7" s="18" t="s">
        <v>23</v>
      </c>
      <c r="E7" s="18" t="s">
        <v>28</v>
      </c>
      <c r="F7" s="18">
        <v>8500</v>
      </c>
      <c r="G7" s="37">
        <v>6</v>
      </c>
      <c r="H7" s="35">
        <v>1400</v>
      </c>
      <c r="I7" s="18">
        <v>600</v>
      </c>
      <c r="J7" s="18">
        <v>0</v>
      </c>
      <c r="K7" s="18">
        <v>0</v>
      </c>
      <c r="L7" s="36">
        <v>0</v>
      </c>
      <c r="M7" s="35">
        <v>400</v>
      </c>
      <c r="N7" s="18">
        <v>100</v>
      </c>
      <c r="O7" s="18">
        <v>0</v>
      </c>
      <c r="P7" s="18">
        <v>0</v>
      </c>
      <c r="Q7" s="36">
        <v>0</v>
      </c>
      <c r="R7" s="35">
        <v>700</v>
      </c>
      <c r="S7" s="18">
        <v>100</v>
      </c>
      <c r="T7" s="18">
        <v>0</v>
      </c>
      <c r="U7" s="18">
        <v>0</v>
      </c>
      <c r="V7" s="36">
        <v>0</v>
      </c>
      <c r="W7" s="35">
        <v>100</v>
      </c>
      <c r="X7" s="18">
        <v>0</v>
      </c>
      <c r="Y7" s="18">
        <v>0</v>
      </c>
      <c r="Z7" s="18">
        <v>0</v>
      </c>
      <c r="AA7" s="36">
        <v>0</v>
      </c>
      <c r="AB7" s="35" t="s">
        <v>22</v>
      </c>
      <c r="AC7" s="18" t="s">
        <v>22</v>
      </c>
      <c r="AD7" s="18" t="s">
        <v>29</v>
      </c>
      <c r="AE7" s="36" t="s">
        <v>25</v>
      </c>
    </row>
    <row r="8" spans="1:31" x14ac:dyDescent="0.3">
      <c r="A8" t="s">
        <v>36</v>
      </c>
      <c r="B8" s="35" t="s">
        <v>21</v>
      </c>
      <c r="C8" s="18" t="s">
        <v>22</v>
      </c>
      <c r="D8" s="18" t="s">
        <v>23</v>
      </c>
      <c r="E8" s="18" t="s">
        <v>30</v>
      </c>
      <c r="F8" s="18">
        <v>111289</v>
      </c>
      <c r="G8" s="37">
        <v>3740</v>
      </c>
      <c r="H8" s="35">
        <v>17600</v>
      </c>
      <c r="I8" s="18">
        <v>10600</v>
      </c>
      <c r="J8" s="18">
        <v>3500</v>
      </c>
      <c r="K8" s="18">
        <v>400</v>
      </c>
      <c r="L8" s="36">
        <v>0</v>
      </c>
      <c r="M8" s="35">
        <v>6500</v>
      </c>
      <c r="N8" s="18">
        <v>2500</v>
      </c>
      <c r="O8" s="18">
        <v>800</v>
      </c>
      <c r="P8" s="18">
        <v>100</v>
      </c>
      <c r="Q8" s="36">
        <v>0</v>
      </c>
      <c r="R8" s="35">
        <v>12500</v>
      </c>
      <c r="S8" s="18">
        <v>4500</v>
      </c>
      <c r="T8" s="18">
        <v>700</v>
      </c>
      <c r="U8" s="18">
        <v>0</v>
      </c>
      <c r="V8" s="36">
        <v>0</v>
      </c>
      <c r="W8" s="35">
        <v>3900</v>
      </c>
      <c r="X8" s="18">
        <v>1300</v>
      </c>
      <c r="Y8" s="18">
        <v>200</v>
      </c>
      <c r="Z8" s="18">
        <v>0</v>
      </c>
      <c r="AA8" s="36">
        <v>0</v>
      </c>
      <c r="AB8" s="35" t="s">
        <v>22</v>
      </c>
      <c r="AC8" s="18" t="s">
        <v>22</v>
      </c>
      <c r="AD8" s="18"/>
      <c r="AE8" s="36" t="s">
        <v>25</v>
      </c>
    </row>
    <row r="9" spans="1:31" x14ac:dyDescent="0.3">
      <c r="A9" t="s">
        <v>36</v>
      </c>
      <c r="B9" s="35" t="s">
        <v>21</v>
      </c>
      <c r="C9" s="18" t="s">
        <v>22</v>
      </c>
      <c r="D9" s="18" t="s">
        <v>23</v>
      </c>
      <c r="E9" s="18" t="s">
        <v>31</v>
      </c>
      <c r="F9" s="18">
        <v>118640</v>
      </c>
      <c r="G9" s="37">
        <v>518</v>
      </c>
      <c r="H9" s="35">
        <v>13400</v>
      </c>
      <c r="I9" s="18">
        <v>5600</v>
      </c>
      <c r="J9" s="18">
        <v>2900</v>
      </c>
      <c r="K9" s="18">
        <v>900</v>
      </c>
      <c r="L9" s="36">
        <v>0</v>
      </c>
      <c r="M9" s="35">
        <v>5400</v>
      </c>
      <c r="N9" s="18">
        <v>1200</v>
      </c>
      <c r="O9" s="18">
        <v>200</v>
      </c>
      <c r="P9" s="18">
        <v>100</v>
      </c>
      <c r="Q9" s="36">
        <v>0</v>
      </c>
      <c r="R9" s="35">
        <v>7900</v>
      </c>
      <c r="S9" s="18">
        <v>3300</v>
      </c>
      <c r="T9" s="18">
        <v>1000</v>
      </c>
      <c r="U9" s="18">
        <v>0</v>
      </c>
      <c r="V9" s="36">
        <v>0</v>
      </c>
      <c r="W9" s="35">
        <v>2700</v>
      </c>
      <c r="X9" s="18">
        <v>400</v>
      </c>
      <c r="Y9" s="18">
        <v>100</v>
      </c>
      <c r="Z9" s="18">
        <v>0</v>
      </c>
      <c r="AA9" s="36">
        <v>0</v>
      </c>
      <c r="AB9" s="35" t="s">
        <v>22</v>
      </c>
      <c r="AC9" s="18" t="s">
        <v>22</v>
      </c>
      <c r="AD9" s="18"/>
      <c r="AE9" s="36" t="s">
        <v>25</v>
      </c>
    </row>
    <row r="10" spans="1:31" x14ac:dyDescent="0.3">
      <c r="A10" t="s">
        <v>36</v>
      </c>
      <c r="B10" s="35" t="s">
        <v>21</v>
      </c>
      <c r="C10" s="18" t="s">
        <v>22</v>
      </c>
      <c r="D10" s="18" t="s">
        <v>23</v>
      </c>
      <c r="E10" s="18" t="s">
        <v>32</v>
      </c>
      <c r="F10" s="18">
        <v>196305</v>
      </c>
      <c r="G10" s="37">
        <v>3866</v>
      </c>
      <c r="H10" s="35">
        <v>24300</v>
      </c>
      <c r="I10" s="18">
        <v>9400</v>
      </c>
      <c r="J10" s="18">
        <v>2800</v>
      </c>
      <c r="K10" s="18">
        <v>500</v>
      </c>
      <c r="L10" s="36">
        <v>100</v>
      </c>
      <c r="M10" s="35">
        <v>16400</v>
      </c>
      <c r="N10" s="18">
        <v>5300</v>
      </c>
      <c r="O10" s="18">
        <v>800</v>
      </c>
      <c r="P10" s="18">
        <v>100</v>
      </c>
      <c r="Q10" s="36">
        <v>0</v>
      </c>
      <c r="R10" s="35">
        <v>13100</v>
      </c>
      <c r="S10" s="18">
        <v>4400</v>
      </c>
      <c r="T10" s="18">
        <v>800</v>
      </c>
      <c r="U10" s="18">
        <v>100</v>
      </c>
      <c r="V10" s="36">
        <v>0</v>
      </c>
      <c r="W10" s="35">
        <v>8700</v>
      </c>
      <c r="X10" s="18">
        <v>1800</v>
      </c>
      <c r="Y10" s="18">
        <v>300</v>
      </c>
      <c r="Z10" s="18">
        <v>0</v>
      </c>
      <c r="AA10" s="36">
        <v>0</v>
      </c>
      <c r="AB10" s="35" t="s">
        <v>22</v>
      </c>
      <c r="AC10" s="18" t="s">
        <v>22</v>
      </c>
      <c r="AD10" s="18"/>
      <c r="AE10" s="36" t="s">
        <v>25</v>
      </c>
    </row>
    <row r="11" spans="1:31" x14ac:dyDescent="0.3">
      <c r="A11" t="s">
        <v>36</v>
      </c>
      <c r="B11" s="35" t="s">
        <v>21</v>
      </c>
      <c r="C11" s="18" t="s">
        <v>22</v>
      </c>
      <c r="D11" s="18" t="s">
        <v>23</v>
      </c>
      <c r="E11" s="18" t="s">
        <v>33</v>
      </c>
      <c r="F11" s="18">
        <v>223004</v>
      </c>
      <c r="G11" s="37">
        <v>525</v>
      </c>
      <c r="H11" s="35">
        <v>19100</v>
      </c>
      <c r="I11" s="18">
        <v>11200</v>
      </c>
      <c r="J11" s="18">
        <v>4600</v>
      </c>
      <c r="K11" s="18">
        <v>100</v>
      </c>
      <c r="L11" s="36">
        <v>0</v>
      </c>
      <c r="M11" s="35">
        <v>2600</v>
      </c>
      <c r="N11" s="18">
        <v>900</v>
      </c>
      <c r="O11" s="18">
        <v>200</v>
      </c>
      <c r="P11" s="18">
        <v>0</v>
      </c>
      <c r="Q11" s="36">
        <v>0</v>
      </c>
      <c r="R11" s="35">
        <v>11900</v>
      </c>
      <c r="S11" s="18">
        <v>5400</v>
      </c>
      <c r="T11" s="18">
        <v>200</v>
      </c>
      <c r="U11" s="18">
        <v>0</v>
      </c>
      <c r="V11" s="36">
        <v>0</v>
      </c>
      <c r="W11" s="35">
        <v>1200</v>
      </c>
      <c r="X11" s="18">
        <v>300</v>
      </c>
      <c r="Y11" s="18">
        <v>100</v>
      </c>
      <c r="Z11" s="18">
        <v>0</v>
      </c>
      <c r="AA11" s="36">
        <v>0</v>
      </c>
      <c r="AB11" s="35" t="s">
        <v>22</v>
      </c>
      <c r="AC11" s="18" t="s">
        <v>22</v>
      </c>
      <c r="AD11" s="18"/>
      <c r="AE11" s="36" t="s">
        <v>25</v>
      </c>
    </row>
    <row r="12" spans="1:31" x14ac:dyDescent="0.3">
      <c r="A12" t="s">
        <v>36</v>
      </c>
      <c r="B12" s="35" t="s">
        <v>21</v>
      </c>
      <c r="C12" s="18" t="s">
        <v>22</v>
      </c>
      <c r="D12" s="18" t="s">
        <v>23</v>
      </c>
      <c r="E12" s="18" t="s">
        <v>34</v>
      </c>
      <c r="F12" s="18">
        <v>183824</v>
      </c>
      <c r="G12" s="37">
        <v>306</v>
      </c>
      <c r="H12" s="35">
        <v>24500</v>
      </c>
      <c r="I12" s="18">
        <v>15400</v>
      </c>
      <c r="J12" s="18">
        <v>7600</v>
      </c>
      <c r="K12" s="18">
        <v>2600</v>
      </c>
      <c r="L12" s="36">
        <v>0</v>
      </c>
      <c r="M12" s="35">
        <v>2900</v>
      </c>
      <c r="N12" s="18">
        <v>600</v>
      </c>
      <c r="O12" s="18">
        <v>100</v>
      </c>
      <c r="P12" s="18">
        <v>0</v>
      </c>
      <c r="Q12" s="36">
        <v>0</v>
      </c>
      <c r="R12" s="35">
        <v>16800</v>
      </c>
      <c r="S12" s="18">
        <v>7900</v>
      </c>
      <c r="T12" s="18">
        <v>2800</v>
      </c>
      <c r="U12" s="18">
        <v>0</v>
      </c>
      <c r="V12" s="36">
        <v>0</v>
      </c>
      <c r="W12" s="35">
        <v>1100</v>
      </c>
      <c r="X12" s="18">
        <v>200</v>
      </c>
      <c r="Y12" s="18">
        <v>100</v>
      </c>
      <c r="Z12" s="18">
        <v>0</v>
      </c>
      <c r="AA12" s="36">
        <v>0</v>
      </c>
      <c r="AB12" s="35" t="s">
        <v>22</v>
      </c>
      <c r="AC12" s="18" t="s">
        <v>22</v>
      </c>
      <c r="AD12" s="18"/>
      <c r="AE12" s="36" t="s">
        <v>25</v>
      </c>
    </row>
    <row r="13" spans="1:31" x14ac:dyDescent="0.3">
      <c r="A13" t="s">
        <v>36</v>
      </c>
      <c r="B13" s="35" t="s">
        <v>21</v>
      </c>
      <c r="C13" s="18" t="s">
        <v>22</v>
      </c>
      <c r="D13" s="18" t="s">
        <v>23</v>
      </c>
      <c r="E13" s="18" t="s">
        <v>35</v>
      </c>
      <c r="F13" s="18">
        <v>208098</v>
      </c>
      <c r="G13" s="37">
        <v>240</v>
      </c>
      <c r="H13" s="35">
        <v>35700</v>
      </c>
      <c r="I13" s="18">
        <v>15500</v>
      </c>
      <c r="J13" s="18">
        <v>3200</v>
      </c>
      <c r="K13" s="18">
        <v>300</v>
      </c>
      <c r="L13" s="36">
        <v>0</v>
      </c>
      <c r="M13" s="35">
        <v>20600</v>
      </c>
      <c r="N13" s="18">
        <v>7500</v>
      </c>
      <c r="O13" s="18">
        <v>1400</v>
      </c>
      <c r="P13" s="18">
        <v>300</v>
      </c>
      <c r="Q13" s="36">
        <v>0</v>
      </c>
      <c r="R13" s="35">
        <v>21100</v>
      </c>
      <c r="S13" s="18">
        <v>5800</v>
      </c>
      <c r="T13" s="18">
        <v>500</v>
      </c>
      <c r="U13" s="18">
        <v>100</v>
      </c>
      <c r="V13" s="36">
        <v>0</v>
      </c>
      <c r="W13" s="35">
        <v>12800</v>
      </c>
      <c r="X13" s="18">
        <v>3000</v>
      </c>
      <c r="Y13" s="18">
        <v>400</v>
      </c>
      <c r="Z13" s="18">
        <v>100</v>
      </c>
      <c r="AA13" s="36">
        <v>0</v>
      </c>
      <c r="AB13" s="35" t="s">
        <v>22</v>
      </c>
      <c r="AC13" s="18" t="s">
        <v>22</v>
      </c>
      <c r="AD13" s="18"/>
      <c r="AE13" s="36" t="s">
        <v>25</v>
      </c>
    </row>
    <row r="14" spans="1:31" x14ac:dyDescent="0.3">
      <c r="A14" t="s">
        <v>38</v>
      </c>
      <c r="B14" s="39" t="s">
        <v>21</v>
      </c>
      <c r="C14" s="38" t="s">
        <v>22</v>
      </c>
      <c r="D14" s="38" t="s">
        <v>23</v>
      </c>
      <c r="E14" s="38" t="s">
        <v>24</v>
      </c>
      <c r="F14" s="38">
        <v>273446</v>
      </c>
      <c r="G14" s="40">
        <v>534</v>
      </c>
      <c r="H14" s="39">
        <v>1100</v>
      </c>
      <c r="I14" s="38">
        <v>100</v>
      </c>
      <c r="J14" s="38">
        <v>0</v>
      </c>
      <c r="K14" s="38">
        <v>0</v>
      </c>
      <c r="L14" s="40">
        <v>0</v>
      </c>
      <c r="M14" s="39">
        <v>1100</v>
      </c>
      <c r="N14" s="38">
        <v>100</v>
      </c>
      <c r="O14" s="38">
        <v>0</v>
      </c>
      <c r="P14" s="38">
        <v>0</v>
      </c>
      <c r="Q14" s="40">
        <v>0</v>
      </c>
      <c r="R14" s="39">
        <v>300</v>
      </c>
      <c r="S14" s="38">
        <v>0</v>
      </c>
      <c r="T14" s="38">
        <v>0</v>
      </c>
      <c r="U14" s="38">
        <v>0</v>
      </c>
      <c r="V14" s="40">
        <v>0</v>
      </c>
      <c r="W14" s="39">
        <v>300</v>
      </c>
      <c r="X14" s="38">
        <v>0</v>
      </c>
      <c r="Y14" s="38">
        <v>0</v>
      </c>
      <c r="Z14" s="38">
        <v>0</v>
      </c>
      <c r="AA14" s="40">
        <v>0</v>
      </c>
      <c r="AB14" s="39" t="s">
        <v>22</v>
      </c>
      <c r="AC14" s="38" t="s">
        <v>22</v>
      </c>
      <c r="AD14" s="38"/>
      <c r="AE14" s="40" t="s">
        <v>25</v>
      </c>
    </row>
    <row r="15" spans="1:31" x14ac:dyDescent="0.3">
      <c r="A15" t="s">
        <v>38</v>
      </c>
      <c r="B15" s="39" t="s">
        <v>21</v>
      </c>
      <c r="C15" s="38" t="s">
        <v>22</v>
      </c>
      <c r="D15" s="38" t="s">
        <v>23</v>
      </c>
      <c r="E15" s="38" t="s">
        <v>26</v>
      </c>
      <c r="F15" s="38">
        <v>620715</v>
      </c>
      <c r="G15" s="40">
        <v>216</v>
      </c>
      <c r="H15" s="39">
        <v>15800</v>
      </c>
      <c r="I15" s="38">
        <v>11800</v>
      </c>
      <c r="J15" s="38">
        <v>4800</v>
      </c>
      <c r="K15" s="38">
        <v>1300</v>
      </c>
      <c r="L15" s="40">
        <v>0</v>
      </c>
      <c r="M15" s="39">
        <v>4200</v>
      </c>
      <c r="N15" s="38">
        <v>1500</v>
      </c>
      <c r="O15" s="38">
        <v>800</v>
      </c>
      <c r="P15" s="38">
        <v>0</v>
      </c>
      <c r="Q15" s="40">
        <v>0</v>
      </c>
      <c r="R15" s="39">
        <v>13500</v>
      </c>
      <c r="S15" s="38">
        <v>6300</v>
      </c>
      <c r="T15" s="38">
        <v>1800</v>
      </c>
      <c r="U15" s="38">
        <v>100</v>
      </c>
      <c r="V15" s="40">
        <v>0</v>
      </c>
      <c r="W15" s="39">
        <v>2000</v>
      </c>
      <c r="X15" s="38">
        <v>1100</v>
      </c>
      <c r="Y15" s="38">
        <v>100</v>
      </c>
      <c r="Z15" s="38">
        <v>0</v>
      </c>
      <c r="AA15" s="40">
        <v>0</v>
      </c>
      <c r="AB15" s="39" t="s">
        <v>22</v>
      </c>
      <c r="AC15" s="38" t="s">
        <v>22</v>
      </c>
      <c r="AD15" s="38"/>
      <c r="AE15" s="40" t="s">
        <v>25</v>
      </c>
    </row>
    <row r="16" spans="1:31" x14ac:dyDescent="0.3">
      <c r="A16" t="s">
        <v>38</v>
      </c>
      <c r="B16" s="39" t="s">
        <v>21</v>
      </c>
      <c r="C16" s="38" t="s">
        <v>22</v>
      </c>
      <c r="D16" s="38" t="s">
        <v>23</v>
      </c>
      <c r="E16" s="38" t="s">
        <v>27</v>
      </c>
      <c r="F16" s="38">
        <v>135780</v>
      </c>
      <c r="G16" s="40">
        <v>1467</v>
      </c>
      <c r="H16" s="39">
        <v>2400</v>
      </c>
      <c r="I16" s="38">
        <v>800</v>
      </c>
      <c r="J16" s="38">
        <v>400</v>
      </c>
      <c r="K16" s="38">
        <v>0</v>
      </c>
      <c r="L16" s="40">
        <v>0</v>
      </c>
      <c r="M16" s="39">
        <v>-1</v>
      </c>
      <c r="N16" s="38">
        <v>-1</v>
      </c>
      <c r="O16" s="38">
        <v>-1</v>
      </c>
      <c r="P16" s="38">
        <v>-1</v>
      </c>
      <c r="Q16" s="40">
        <v>-1</v>
      </c>
      <c r="R16" s="39">
        <v>1700</v>
      </c>
      <c r="S16" s="38">
        <v>700</v>
      </c>
      <c r="T16" s="38">
        <v>200</v>
      </c>
      <c r="U16" s="38">
        <v>0</v>
      </c>
      <c r="V16" s="40">
        <v>0</v>
      </c>
      <c r="W16" s="39">
        <v>-1</v>
      </c>
      <c r="X16" s="38">
        <v>-1</v>
      </c>
      <c r="Y16" s="38">
        <v>-1</v>
      </c>
      <c r="Z16" s="38">
        <v>-1</v>
      </c>
      <c r="AA16" s="40">
        <v>-1</v>
      </c>
      <c r="AB16" s="39" t="s">
        <v>22</v>
      </c>
      <c r="AC16" s="38" t="s">
        <v>22</v>
      </c>
      <c r="AD16" s="38"/>
      <c r="AE16" s="40" t="s">
        <v>25</v>
      </c>
    </row>
    <row r="17" spans="1:31" x14ac:dyDescent="0.3">
      <c r="A17" t="s">
        <v>38</v>
      </c>
      <c r="B17" s="39" t="s">
        <v>21</v>
      </c>
      <c r="C17" s="38" t="s">
        <v>22</v>
      </c>
      <c r="D17" s="38" t="s">
        <v>23</v>
      </c>
      <c r="E17" s="38" t="s">
        <v>28</v>
      </c>
      <c r="F17" s="38">
        <v>8500</v>
      </c>
      <c r="G17" s="40">
        <v>6</v>
      </c>
      <c r="H17" s="39">
        <v>200</v>
      </c>
      <c r="I17" s="38">
        <v>100</v>
      </c>
      <c r="J17" s="38">
        <v>0</v>
      </c>
      <c r="K17" s="38">
        <v>0</v>
      </c>
      <c r="L17" s="40">
        <v>0</v>
      </c>
      <c r="M17" s="39">
        <v>200</v>
      </c>
      <c r="N17" s="38">
        <v>100</v>
      </c>
      <c r="O17" s="38">
        <v>0</v>
      </c>
      <c r="P17" s="38">
        <v>0</v>
      </c>
      <c r="Q17" s="40">
        <v>0</v>
      </c>
      <c r="R17" s="39">
        <v>100</v>
      </c>
      <c r="S17" s="38">
        <v>0</v>
      </c>
      <c r="T17" s="38">
        <v>0</v>
      </c>
      <c r="U17" s="38">
        <v>0</v>
      </c>
      <c r="V17" s="40">
        <v>0</v>
      </c>
      <c r="W17" s="39">
        <v>100</v>
      </c>
      <c r="X17" s="38">
        <v>0</v>
      </c>
      <c r="Y17" s="38">
        <v>0</v>
      </c>
      <c r="Z17" s="38">
        <v>0</v>
      </c>
      <c r="AA17" s="40">
        <v>0</v>
      </c>
      <c r="AB17" s="39" t="s">
        <v>22</v>
      </c>
      <c r="AC17" s="38" t="s">
        <v>22</v>
      </c>
      <c r="AD17" s="38" t="s">
        <v>29</v>
      </c>
      <c r="AE17" s="40" t="s">
        <v>25</v>
      </c>
    </row>
    <row r="18" spans="1:31" x14ac:dyDescent="0.3">
      <c r="A18" t="s">
        <v>38</v>
      </c>
      <c r="B18" s="39" t="s">
        <v>21</v>
      </c>
      <c r="C18" s="38" t="s">
        <v>22</v>
      </c>
      <c r="D18" s="38" t="s">
        <v>23</v>
      </c>
      <c r="E18" s="38" t="s">
        <v>30</v>
      </c>
      <c r="F18" s="38">
        <v>111289</v>
      </c>
      <c r="G18" s="40">
        <v>3740</v>
      </c>
      <c r="H18" s="39">
        <v>700</v>
      </c>
      <c r="I18" s="38">
        <v>200</v>
      </c>
      <c r="J18" s="38">
        <v>0</v>
      </c>
      <c r="K18" s="38">
        <v>0</v>
      </c>
      <c r="L18" s="40">
        <v>0</v>
      </c>
      <c r="M18" s="39">
        <v>-1</v>
      </c>
      <c r="N18" s="38">
        <v>-1</v>
      </c>
      <c r="O18" s="38">
        <v>-1</v>
      </c>
      <c r="P18" s="38">
        <v>-1</v>
      </c>
      <c r="Q18" s="40">
        <v>-1</v>
      </c>
      <c r="R18" s="39">
        <v>700</v>
      </c>
      <c r="S18" s="38">
        <v>100</v>
      </c>
      <c r="T18" s="38">
        <v>0</v>
      </c>
      <c r="U18" s="38">
        <v>0</v>
      </c>
      <c r="V18" s="40">
        <v>0</v>
      </c>
      <c r="W18" s="39">
        <v>-1</v>
      </c>
      <c r="X18" s="38">
        <v>-1</v>
      </c>
      <c r="Y18" s="38">
        <v>-1</v>
      </c>
      <c r="Z18" s="38">
        <v>-1</v>
      </c>
      <c r="AA18" s="40">
        <v>-1</v>
      </c>
      <c r="AB18" s="39" t="s">
        <v>22</v>
      </c>
      <c r="AC18" s="38" t="s">
        <v>22</v>
      </c>
      <c r="AD18" s="38"/>
      <c r="AE18" s="40" t="s">
        <v>25</v>
      </c>
    </row>
    <row r="19" spans="1:31" x14ac:dyDescent="0.3">
      <c r="A19" t="s">
        <v>38</v>
      </c>
      <c r="B19" s="39" t="s">
        <v>21</v>
      </c>
      <c r="C19" s="38" t="s">
        <v>22</v>
      </c>
      <c r="D19" s="38" t="s">
        <v>23</v>
      </c>
      <c r="E19" s="38" t="s">
        <v>31</v>
      </c>
      <c r="F19" s="38">
        <v>118640</v>
      </c>
      <c r="G19" s="40">
        <v>518</v>
      </c>
      <c r="H19" s="39">
        <v>7500</v>
      </c>
      <c r="I19" s="38">
        <v>2300</v>
      </c>
      <c r="J19" s="38">
        <v>600</v>
      </c>
      <c r="K19" s="38">
        <v>400</v>
      </c>
      <c r="L19" s="40">
        <v>0</v>
      </c>
      <c r="M19" s="39">
        <v>3100</v>
      </c>
      <c r="N19" s="38">
        <v>1000</v>
      </c>
      <c r="O19" s="38">
        <v>400</v>
      </c>
      <c r="P19" s="38">
        <v>100</v>
      </c>
      <c r="Q19" s="40">
        <v>0</v>
      </c>
      <c r="R19" s="39">
        <v>6100</v>
      </c>
      <c r="S19" s="38">
        <v>1600</v>
      </c>
      <c r="T19" s="38">
        <v>600</v>
      </c>
      <c r="U19" s="38">
        <v>200</v>
      </c>
      <c r="V19" s="40">
        <v>0</v>
      </c>
      <c r="W19" s="39">
        <v>2400</v>
      </c>
      <c r="X19" s="38">
        <v>800</v>
      </c>
      <c r="Y19" s="38">
        <v>300</v>
      </c>
      <c r="Z19" s="38">
        <v>100</v>
      </c>
      <c r="AA19" s="40">
        <v>0</v>
      </c>
      <c r="AB19" s="39" t="s">
        <v>22</v>
      </c>
      <c r="AC19" s="38" t="s">
        <v>22</v>
      </c>
      <c r="AD19" s="38"/>
      <c r="AE19" s="40" t="s">
        <v>25</v>
      </c>
    </row>
    <row r="20" spans="1:31" x14ac:dyDescent="0.3">
      <c r="A20" t="s">
        <v>38</v>
      </c>
      <c r="B20" s="39" t="s">
        <v>21</v>
      </c>
      <c r="C20" s="38" t="s">
        <v>22</v>
      </c>
      <c r="D20" s="38" t="s">
        <v>23</v>
      </c>
      <c r="E20" s="38" t="s">
        <v>32</v>
      </c>
      <c r="F20" s="38">
        <v>196305</v>
      </c>
      <c r="G20" s="40">
        <v>3866</v>
      </c>
      <c r="H20" s="39">
        <v>10900</v>
      </c>
      <c r="I20" s="38">
        <v>4100</v>
      </c>
      <c r="J20" s="38">
        <v>1800</v>
      </c>
      <c r="K20" s="38">
        <v>300</v>
      </c>
      <c r="L20" s="40">
        <v>0</v>
      </c>
      <c r="M20" s="39">
        <v>-1</v>
      </c>
      <c r="N20" s="38">
        <v>-1</v>
      </c>
      <c r="O20" s="38">
        <v>-1</v>
      </c>
      <c r="P20" s="38">
        <v>-1</v>
      </c>
      <c r="Q20" s="40">
        <v>-1</v>
      </c>
      <c r="R20" s="39">
        <v>8400</v>
      </c>
      <c r="S20" s="38">
        <v>3400</v>
      </c>
      <c r="T20" s="38">
        <v>1200</v>
      </c>
      <c r="U20" s="38">
        <v>100</v>
      </c>
      <c r="V20" s="40">
        <v>0</v>
      </c>
      <c r="W20" s="39">
        <v>-1</v>
      </c>
      <c r="X20" s="38">
        <v>-1</v>
      </c>
      <c r="Y20" s="38">
        <v>-1</v>
      </c>
      <c r="Z20" s="38">
        <v>-1</v>
      </c>
      <c r="AA20" s="40">
        <v>-1</v>
      </c>
      <c r="AB20" s="39" t="s">
        <v>22</v>
      </c>
      <c r="AC20" s="38" t="s">
        <v>37</v>
      </c>
      <c r="AD20" s="38"/>
      <c r="AE20" s="40" t="s">
        <v>25</v>
      </c>
    </row>
    <row r="21" spans="1:31" x14ac:dyDescent="0.3">
      <c r="A21" t="s">
        <v>38</v>
      </c>
      <c r="B21" s="39" t="s">
        <v>21</v>
      </c>
      <c r="C21" s="38" t="s">
        <v>22</v>
      </c>
      <c r="D21" s="38" t="s">
        <v>23</v>
      </c>
      <c r="E21" s="38" t="s">
        <v>33</v>
      </c>
      <c r="F21" s="38">
        <v>223004</v>
      </c>
      <c r="G21" s="40">
        <v>525</v>
      </c>
      <c r="H21" s="39">
        <v>5200</v>
      </c>
      <c r="I21" s="38">
        <v>2900</v>
      </c>
      <c r="J21" s="38">
        <v>1800</v>
      </c>
      <c r="K21" s="38">
        <v>1000</v>
      </c>
      <c r="L21" s="40">
        <v>500</v>
      </c>
      <c r="M21" s="39">
        <v>300</v>
      </c>
      <c r="N21" s="38">
        <v>100</v>
      </c>
      <c r="O21" s="38">
        <v>0</v>
      </c>
      <c r="P21" s="38">
        <v>0</v>
      </c>
      <c r="Q21" s="40">
        <v>0</v>
      </c>
      <c r="R21" s="39">
        <v>4500</v>
      </c>
      <c r="S21" s="38">
        <v>2400</v>
      </c>
      <c r="T21" s="38">
        <v>1500</v>
      </c>
      <c r="U21" s="38">
        <v>800</v>
      </c>
      <c r="V21" s="40">
        <v>300</v>
      </c>
      <c r="W21" s="39">
        <v>200</v>
      </c>
      <c r="X21" s="38">
        <v>100</v>
      </c>
      <c r="Y21" s="38">
        <v>0</v>
      </c>
      <c r="Z21" s="38">
        <v>0</v>
      </c>
      <c r="AA21" s="40">
        <v>0</v>
      </c>
      <c r="AB21" s="39" t="s">
        <v>22</v>
      </c>
      <c r="AC21" s="38" t="s">
        <v>22</v>
      </c>
      <c r="AD21" s="38"/>
      <c r="AE21" s="40" t="s">
        <v>25</v>
      </c>
    </row>
    <row r="22" spans="1:31" x14ac:dyDescent="0.3">
      <c r="A22" t="s">
        <v>38</v>
      </c>
      <c r="B22" s="39" t="s">
        <v>21</v>
      </c>
      <c r="C22" s="38" t="s">
        <v>22</v>
      </c>
      <c r="D22" s="38" t="s">
        <v>23</v>
      </c>
      <c r="E22" s="38" t="s">
        <v>34</v>
      </c>
      <c r="F22" s="38">
        <v>183824</v>
      </c>
      <c r="G22" s="40">
        <v>306</v>
      </c>
      <c r="H22" s="39">
        <v>1200</v>
      </c>
      <c r="I22" s="38">
        <v>300</v>
      </c>
      <c r="J22" s="38">
        <v>0</v>
      </c>
      <c r="K22" s="38">
        <v>0</v>
      </c>
      <c r="L22" s="40">
        <v>0</v>
      </c>
      <c r="M22" s="39">
        <v>-1</v>
      </c>
      <c r="N22" s="38">
        <v>-1</v>
      </c>
      <c r="O22" s="38">
        <v>-1</v>
      </c>
      <c r="P22" s="38">
        <v>-1</v>
      </c>
      <c r="Q22" s="40">
        <v>-1</v>
      </c>
      <c r="R22" s="39">
        <v>900</v>
      </c>
      <c r="S22" s="38">
        <v>100</v>
      </c>
      <c r="T22" s="38">
        <v>0</v>
      </c>
      <c r="U22" s="38">
        <v>0</v>
      </c>
      <c r="V22" s="40">
        <v>0</v>
      </c>
      <c r="W22" s="39">
        <v>-1</v>
      </c>
      <c r="X22" s="38">
        <v>-1</v>
      </c>
      <c r="Y22" s="38">
        <v>-1</v>
      </c>
      <c r="Z22" s="38">
        <v>-1</v>
      </c>
      <c r="AA22" s="40">
        <v>-1</v>
      </c>
      <c r="AB22" s="39" t="s">
        <v>22</v>
      </c>
      <c r="AC22" s="38" t="s">
        <v>22</v>
      </c>
      <c r="AD22" s="38"/>
      <c r="AE22" s="40" t="s">
        <v>25</v>
      </c>
    </row>
    <row r="23" spans="1:31" x14ac:dyDescent="0.3">
      <c r="A23" t="s">
        <v>38</v>
      </c>
      <c r="B23" s="39" t="s">
        <v>21</v>
      </c>
      <c r="C23" s="38" t="s">
        <v>22</v>
      </c>
      <c r="D23" s="38" t="s">
        <v>23</v>
      </c>
      <c r="E23" s="38" t="s">
        <v>35</v>
      </c>
      <c r="F23" s="38">
        <v>208098</v>
      </c>
      <c r="G23" s="40">
        <v>240</v>
      </c>
      <c r="H23" s="39">
        <v>4300</v>
      </c>
      <c r="I23" s="38">
        <v>1800</v>
      </c>
      <c r="J23" s="38">
        <v>500</v>
      </c>
      <c r="K23" s="38">
        <v>100</v>
      </c>
      <c r="L23" s="40">
        <v>0</v>
      </c>
      <c r="M23" s="39">
        <v>4300</v>
      </c>
      <c r="N23" s="38">
        <v>1800</v>
      </c>
      <c r="O23" s="38">
        <v>500</v>
      </c>
      <c r="P23" s="38">
        <v>100</v>
      </c>
      <c r="Q23" s="40">
        <v>0</v>
      </c>
      <c r="R23" s="39">
        <v>2500</v>
      </c>
      <c r="S23" s="38">
        <v>800</v>
      </c>
      <c r="T23" s="38">
        <v>100</v>
      </c>
      <c r="U23" s="38">
        <v>0</v>
      </c>
      <c r="V23" s="40">
        <v>0</v>
      </c>
      <c r="W23" s="39">
        <v>2500</v>
      </c>
      <c r="X23" s="38">
        <v>800</v>
      </c>
      <c r="Y23" s="38">
        <v>100</v>
      </c>
      <c r="Z23" s="38">
        <v>0</v>
      </c>
      <c r="AA23" s="40">
        <v>0</v>
      </c>
      <c r="AB23" s="39" t="s">
        <v>22</v>
      </c>
      <c r="AC23" s="38" t="s">
        <v>22</v>
      </c>
      <c r="AD23" s="38"/>
      <c r="AE23" s="40" t="s">
        <v>25</v>
      </c>
    </row>
    <row r="24" spans="1:31" x14ac:dyDescent="0.3">
      <c r="A24" t="s">
        <v>40</v>
      </c>
      <c r="B24" s="42" t="s">
        <v>21</v>
      </c>
      <c r="C24" s="41" t="s">
        <v>22</v>
      </c>
      <c r="D24" s="41" t="s">
        <v>23</v>
      </c>
      <c r="E24" s="41" t="s">
        <v>24</v>
      </c>
      <c r="F24" s="41">
        <v>273446</v>
      </c>
      <c r="G24" s="43">
        <v>534</v>
      </c>
      <c r="H24" s="42">
        <v>-2</v>
      </c>
      <c r="I24" s="41">
        <v>-2</v>
      </c>
      <c r="J24" s="41">
        <v>-2</v>
      </c>
      <c r="K24" s="41">
        <v>-2</v>
      </c>
      <c r="L24" s="43">
        <v>-2</v>
      </c>
      <c r="M24" s="42">
        <v>-2</v>
      </c>
      <c r="N24" s="41">
        <v>-2</v>
      </c>
      <c r="O24" s="41">
        <v>-2</v>
      </c>
      <c r="P24" s="41">
        <v>-2</v>
      </c>
      <c r="Q24" s="43">
        <v>-2</v>
      </c>
      <c r="R24" s="42">
        <v>-2</v>
      </c>
      <c r="S24" s="41">
        <v>-2</v>
      </c>
      <c r="T24" s="41">
        <v>-2</v>
      </c>
      <c r="U24" s="41">
        <v>-2</v>
      </c>
      <c r="V24" s="43">
        <v>-2</v>
      </c>
      <c r="W24" s="42">
        <v>-2</v>
      </c>
      <c r="X24" s="41">
        <v>-2</v>
      </c>
      <c r="Y24" s="41">
        <v>-2</v>
      </c>
      <c r="Z24" s="41">
        <v>-2</v>
      </c>
      <c r="AA24" s="43">
        <v>-2</v>
      </c>
      <c r="AB24" s="42" t="s">
        <v>22</v>
      </c>
      <c r="AC24" s="41" t="s">
        <v>22</v>
      </c>
      <c r="AD24" s="41"/>
      <c r="AE24" s="43" t="s">
        <v>22</v>
      </c>
    </row>
    <row r="25" spans="1:31" x14ac:dyDescent="0.3">
      <c r="A25" t="s">
        <v>40</v>
      </c>
      <c r="B25" s="42" t="s">
        <v>21</v>
      </c>
      <c r="C25" s="41" t="s">
        <v>22</v>
      </c>
      <c r="D25" s="41" t="s">
        <v>23</v>
      </c>
      <c r="E25" s="41" t="s">
        <v>26</v>
      </c>
      <c r="F25" s="41">
        <v>620715</v>
      </c>
      <c r="G25" s="43">
        <v>216</v>
      </c>
      <c r="H25" s="42">
        <v>-2</v>
      </c>
      <c r="I25" s="41">
        <v>-2</v>
      </c>
      <c r="J25" s="41">
        <v>-2</v>
      </c>
      <c r="K25" s="41">
        <v>-2</v>
      </c>
      <c r="L25" s="43">
        <v>-2</v>
      </c>
      <c r="M25" s="42">
        <v>-2</v>
      </c>
      <c r="N25" s="41">
        <v>-2</v>
      </c>
      <c r="O25" s="41">
        <v>-2</v>
      </c>
      <c r="P25" s="41">
        <v>-2</v>
      </c>
      <c r="Q25" s="43">
        <v>-2</v>
      </c>
      <c r="R25" s="42">
        <v>-2</v>
      </c>
      <c r="S25" s="41">
        <v>-2</v>
      </c>
      <c r="T25" s="41">
        <v>-2</v>
      </c>
      <c r="U25" s="41">
        <v>-2</v>
      </c>
      <c r="V25" s="43">
        <v>-2</v>
      </c>
      <c r="W25" s="42">
        <v>-2</v>
      </c>
      <c r="X25" s="41">
        <v>-2</v>
      </c>
      <c r="Y25" s="41">
        <v>-2</v>
      </c>
      <c r="Z25" s="41">
        <v>-2</v>
      </c>
      <c r="AA25" s="43">
        <v>-2</v>
      </c>
      <c r="AB25" s="42" t="s">
        <v>22</v>
      </c>
      <c r="AC25" s="41" t="s">
        <v>22</v>
      </c>
      <c r="AD25" s="41"/>
      <c r="AE25" s="43" t="s">
        <v>22</v>
      </c>
    </row>
    <row r="26" spans="1:31" x14ac:dyDescent="0.3">
      <c r="A26" t="s">
        <v>40</v>
      </c>
      <c r="B26" s="42" t="s">
        <v>21</v>
      </c>
      <c r="C26" s="41" t="s">
        <v>22</v>
      </c>
      <c r="D26" s="41" t="s">
        <v>23</v>
      </c>
      <c r="E26" s="41" t="s">
        <v>27</v>
      </c>
      <c r="F26" s="41">
        <v>135780</v>
      </c>
      <c r="G26" s="43">
        <v>1467</v>
      </c>
      <c r="H26" s="42">
        <v>0</v>
      </c>
      <c r="I26" s="41">
        <v>0</v>
      </c>
      <c r="J26" s="41">
        <v>0</v>
      </c>
      <c r="K26" s="41">
        <v>0</v>
      </c>
      <c r="L26" s="43">
        <v>0</v>
      </c>
      <c r="M26" s="42">
        <v>-1</v>
      </c>
      <c r="N26" s="41">
        <v>-1</v>
      </c>
      <c r="O26" s="41">
        <v>-1</v>
      </c>
      <c r="P26" s="41">
        <v>-1</v>
      </c>
      <c r="Q26" s="43">
        <v>-1</v>
      </c>
      <c r="R26" s="42">
        <v>0</v>
      </c>
      <c r="S26" s="41">
        <v>0</v>
      </c>
      <c r="T26" s="41">
        <v>0</v>
      </c>
      <c r="U26" s="41">
        <v>0</v>
      </c>
      <c r="V26" s="43">
        <v>0</v>
      </c>
      <c r="W26" s="42">
        <v>-1</v>
      </c>
      <c r="X26" s="41">
        <v>-1</v>
      </c>
      <c r="Y26" s="41">
        <v>-1</v>
      </c>
      <c r="Z26" s="41">
        <v>-1</v>
      </c>
      <c r="AA26" s="43">
        <v>-1</v>
      </c>
      <c r="AB26" s="42" t="s">
        <v>39</v>
      </c>
      <c r="AC26" s="41" t="s">
        <v>22</v>
      </c>
      <c r="AD26" s="41"/>
      <c r="AE26" s="43" t="s">
        <v>25</v>
      </c>
    </row>
    <row r="27" spans="1:31" x14ac:dyDescent="0.3">
      <c r="A27" t="s">
        <v>40</v>
      </c>
      <c r="B27" s="42" t="s">
        <v>21</v>
      </c>
      <c r="C27" s="41" t="s">
        <v>22</v>
      </c>
      <c r="D27" s="41" t="s">
        <v>23</v>
      </c>
      <c r="E27" s="41" t="s">
        <v>28</v>
      </c>
      <c r="F27" s="41">
        <v>8500</v>
      </c>
      <c r="G27" s="43">
        <v>6</v>
      </c>
      <c r="H27" s="42">
        <v>-2</v>
      </c>
      <c r="I27" s="41">
        <v>-2</v>
      </c>
      <c r="J27" s="41">
        <v>-2</v>
      </c>
      <c r="K27" s="41">
        <v>-2</v>
      </c>
      <c r="L27" s="43">
        <v>-2</v>
      </c>
      <c r="M27" s="42">
        <v>-2</v>
      </c>
      <c r="N27" s="41">
        <v>-2</v>
      </c>
      <c r="O27" s="41">
        <v>-2</v>
      </c>
      <c r="P27" s="41">
        <v>-2</v>
      </c>
      <c r="Q27" s="43">
        <v>-2</v>
      </c>
      <c r="R27" s="42">
        <v>-2</v>
      </c>
      <c r="S27" s="41">
        <v>-2</v>
      </c>
      <c r="T27" s="41">
        <v>-2</v>
      </c>
      <c r="U27" s="41">
        <v>-2</v>
      </c>
      <c r="V27" s="43">
        <v>-2</v>
      </c>
      <c r="W27" s="42">
        <v>-2</v>
      </c>
      <c r="X27" s="41">
        <v>-2</v>
      </c>
      <c r="Y27" s="41">
        <v>-2</v>
      </c>
      <c r="Z27" s="41">
        <v>-2</v>
      </c>
      <c r="AA27" s="43">
        <v>-2</v>
      </c>
      <c r="AB27" s="42" t="s">
        <v>22</v>
      </c>
      <c r="AC27" s="41" t="s">
        <v>22</v>
      </c>
      <c r="AD27" s="41" t="s">
        <v>29</v>
      </c>
      <c r="AE27" s="43" t="s">
        <v>22</v>
      </c>
    </row>
    <row r="28" spans="1:31" x14ac:dyDescent="0.3">
      <c r="A28" t="s">
        <v>40</v>
      </c>
      <c r="B28" s="42" t="s">
        <v>21</v>
      </c>
      <c r="C28" s="41" t="s">
        <v>22</v>
      </c>
      <c r="D28" s="41" t="s">
        <v>23</v>
      </c>
      <c r="E28" s="41" t="s">
        <v>30</v>
      </c>
      <c r="F28" s="41">
        <v>111289</v>
      </c>
      <c r="G28" s="43">
        <v>3740</v>
      </c>
      <c r="H28" s="42">
        <v>-2</v>
      </c>
      <c r="I28" s="41">
        <v>-2</v>
      </c>
      <c r="J28" s="41">
        <v>-2</v>
      </c>
      <c r="K28" s="41">
        <v>-2</v>
      </c>
      <c r="L28" s="43">
        <v>-2</v>
      </c>
      <c r="M28" s="42">
        <v>-2</v>
      </c>
      <c r="N28" s="41">
        <v>-2</v>
      </c>
      <c r="O28" s="41">
        <v>-2</v>
      </c>
      <c r="P28" s="41">
        <v>-2</v>
      </c>
      <c r="Q28" s="43">
        <v>-2</v>
      </c>
      <c r="R28" s="42">
        <v>-2</v>
      </c>
      <c r="S28" s="41">
        <v>-2</v>
      </c>
      <c r="T28" s="41">
        <v>-2</v>
      </c>
      <c r="U28" s="41">
        <v>-2</v>
      </c>
      <c r="V28" s="43">
        <v>-2</v>
      </c>
      <c r="W28" s="42">
        <v>-2</v>
      </c>
      <c r="X28" s="41">
        <v>-2</v>
      </c>
      <c r="Y28" s="41">
        <v>-2</v>
      </c>
      <c r="Z28" s="41">
        <v>-2</v>
      </c>
      <c r="AA28" s="43">
        <v>-2</v>
      </c>
      <c r="AB28" s="42" t="s">
        <v>22</v>
      </c>
      <c r="AC28" s="41" t="s">
        <v>22</v>
      </c>
      <c r="AD28" s="41"/>
      <c r="AE28" s="43" t="s">
        <v>22</v>
      </c>
    </row>
    <row r="29" spans="1:31" x14ac:dyDescent="0.3">
      <c r="A29" t="s">
        <v>40</v>
      </c>
      <c r="B29" s="42" t="s">
        <v>21</v>
      </c>
      <c r="C29" s="41" t="s">
        <v>22</v>
      </c>
      <c r="D29" s="41" t="s">
        <v>23</v>
      </c>
      <c r="E29" s="41" t="s">
        <v>31</v>
      </c>
      <c r="F29" s="41">
        <v>118640</v>
      </c>
      <c r="G29" s="43">
        <v>518</v>
      </c>
      <c r="H29" s="42">
        <v>-2</v>
      </c>
      <c r="I29" s="41">
        <v>-2</v>
      </c>
      <c r="J29" s="41">
        <v>-2</v>
      </c>
      <c r="K29" s="41">
        <v>-2</v>
      </c>
      <c r="L29" s="43">
        <v>-2</v>
      </c>
      <c r="M29" s="42">
        <v>-2</v>
      </c>
      <c r="N29" s="41">
        <v>-2</v>
      </c>
      <c r="O29" s="41">
        <v>-2</v>
      </c>
      <c r="P29" s="41">
        <v>-2</v>
      </c>
      <c r="Q29" s="43">
        <v>-2</v>
      </c>
      <c r="R29" s="42">
        <v>-2</v>
      </c>
      <c r="S29" s="41">
        <v>-2</v>
      </c>
      <c r="T29" s="41">
        <v>-2</v>
      </c>
      <c r="U29" s="41">
        <v>-2</v>
      </c>
      <c r="V29" s="43">
        <v>-2</v>
      </c>
      <c r="W29" s="42">
        <v>-2</v>
      </c>
      <c r="X29" s="41">
        <v>-2</v>
      </c>
      <c r="Y29" s="41">
        <v>-2</v>
      </c>
      <c r="Z29" s="41">
        <v>-2</v>
      </c>
      <c r="AA29" s="43">
        <v>-2</v>
      </c>
      <c r="AB29" s="42" t="s">
        <v>22</v>
      </c>
      <c r="AC29" s="41" t="s">
        <v>22</v>
      </c>
      <c r="AD29" s="41"/>
      <c r="AE29" s="43" t="s">
        <v>22</v>
      </c>
    </row>
    <row r="30" spans="1:31" x14ac:dyDescent="0.3">
      <c r="A30" t="s">
        <v>40</v>
      </c>
      <c r="B30" s="42" t="s">
        <v>21</v>
      </c>
      <c r="C30" s="41" t="s">
        <v>22</v>
      </c>
      <c r="D30" s="41" t="s">
        <v>23</v>
      </c>
      <c r="E30" s="41" t="s">
        <v>32</v>
      </c>
      <c r="F30" s="41">
        <v>196305</v>
      </c>
      <c r="G30" s="43">
        <v>3866</v>
      </c>
      <c r="H30" s="42">
        <v>200</v>
      </c>
      <c r="I30" s="41">
        <v>100</v>
      </c>
      <c r="J30" s="41">
        <v>0</v>
      </c>
      <c r="K30" s="41">
        <v>0</v>
      </c>
      <c r="L30" s="43">
        <v>0</v>
      </c>
      <c r="M30" s="42">
        <v>-1</v>
      </c>
      <c r="N30" s="41">
        <v>-1</v>
      </c>
      <c r="O30" s="41">
        <v>-1</v>
      </c>
      <c r="P30" s="41">
        <v>-1</v>
      </c>
      <c r="Q30" s="43">
        <v>-1</v>
      </c>
      <c r="R30" s="42">
        <v>100</v>
      </c>
      <c r="S30" s="41">
        <v>100</v>
      </c>
      <c r="T30" s="41">
        <v>0</v>
      </c>
      <c r="U30" s="41">
        <v>0</v>
      </c>
      <c r="V30" s="43">
        <v>0</v>
      </c>
      <c r="W30" s="42">
        <v>-1</v>
      </c>
      <c r="X30" s="41">
        <v>-1</v>
      </c>
      <c r="Y30" s="41">
        <v>-1</v>
      </c>
      <c r="Z30" s="41">
        <v>-1</v>
      </c>
      <c r="AA30" s="43">
        <v>-1</v>
      </c>
      <c r="AB30" s="42" t="s">
        <v>39</v>
      </c>
      <c r="AC30" s="41" t="s">
        <v>22</v>
      </c>
      <c r="AD30" s="41"/>
      <c r="AE30" s="43" t="s">
        <v>25</v>
      </c>
    </row>
    <row r="31" spans="1:31" x14ac:dyDescent="0.3">
      <c r="A31" t="s">
        <v>40</v>
      </c>
      <c r="B31" s="42" t="s">
        <v>21</v>
      </c>
      <c r="C31" s="41" t="s">
        <v>22</v>
      </c>
      <c r="D31" s="41" t="s">
        <v>23</v>
      </c>
      <c r="E31" s="41" t="s">
        <v>33</v>
      </c>
      <c r="F31" s="41">
        <v>223004</v>
      </c>
      <c r="G31" s="43">
        <v>525</v>
      </c>
      <c r="H31" s="42">
        <v>-2</v>
      </c>
      <c r="I31" s="41">
        <v>-2</v>
      </c>
      <c r="J31" s="41">
        <v>-2</v>
      </c>
      <c r="K31" s="41">
        <v>-2</v>
      </c>
      <c r="L31" s="43">
        <v>-2</v>
      </c>
      <c r="M31" s="42">
        <v>-2</v>
      </c>
      <c r="N31" s="41">
        <v>-2</v>
      </c>
      <c r="O31" s="41">
        <v>-2</v>
      </c>
      <c r="P31" s="41">
        <v>-2</v>
      </c>
      <c r="Q31" s="43">
        <v>-2</v>
      </c>
      <c r="R31" s="42">
        <v>-2</v>
      </c>
      <c r="S31" s="41">
        <v>-2</v>
      </c>
      <c r="T31" s="41">
        <v>-2</v>
      </c>
      <c r="U31" s="41">
        <v>-2</v>
      </c>
      <c r="V31" s="43">
        <v>-2</v>
      </c>
      <c r="W31" s="42">
        <v>-2</v>
      </c>
      <c r="X31" s="41">
        <v>-2</v>
      </c>
      <c r="Y31" s="41">
        <v>-2</v>
      </c>
      <c r="Z31" s="41">
        <v>-2</v>
      </c>
      <c r="AA31" s="43">
        <v>-2</v>
      </c>
      <c r="AB31" s="42" t="s">
        <v>22</v>
      </c>
      <c r="AC31" s="41" t="s">
        <v>22</v>
      </c>
      <c r="AD31" s="41"/>
      <c r="AE31" s="43" t="s">
        <v>22</v>
      </c>
    </row>
    <row r="32" spans="1:31" x14ac:dyDescent="0.3">
      <c r="A32" t="s">
        <v>40</v>
      </c>
      <c r="B32" s="42" t="s">
        <v>21</v>
      </c>
      <c r="C32" s="41" t="s">
        <v>22</v>
      </c>
      <c r="D32" s="41" t="s">
        <v>23</v>
      </c>
      <c r="E32" s="41" t="s">
        <v>34</v>
      </c>
      <c r="F32" s="41">
        <v>183824</v>
      </c>
      <c r="G32" s="43">
        <v>306</v>
      </c>
      <c r="H32" s="42">
        <v>300</v>
      </c>
      <c r="I32" s="41">
        <v>200</v>
      </c>
      <c r="J32" s="41">
        <v>0</v>
      </c>
      <c r="K32" s="41">
        <v>0</v>
      </c>
      <c r="L32" s="43">
        <v>0</v>
      </c>
      <c r="M32" s="42">
        <v>-1</v>
      </c>
      <c r="N32" s="41">
        <v>-1</v>
      </c>
      <c r="O32" s="41">
        <v>-1</v>
      </c>
      <c r="P32" s="41">
        <v>-1</v>
      </c>
      <c r="Q32" s="43">
        <v>-1</v>
      </c>
      <c r="R32" s="42">
        <v>200</v>
      </c>
      <c r="S32" s="41">
        <v>0</v>
      </c>
      <c r="T32" s="41">
        <v>0</v>
      </c>
      <c r="U32" s="41">
        <v>0</v>
      </c>
      <c r="V32" s="43">
        <v>0</v>
      </c>
      <c r="W32" s="42">
        <v>-1</v>
      </c>
      <c r="X32" s="41">
        <v>-1</v>
      </c>
      <c r="Y32" s="41">
        <v>-1</v>
      </c>
      <c r="Z32" s="41">
        <v>-1</v>
      </c>
      <c r="AA32" s="43">
        <v>-1</v>
      </c>
      <c r="AB32" s="42" t="s">
        <v>39</v>
      </c>
      <c r="AC32" s="41" t="s">
        <v>22</v>
      </c>
      <c r="AD32" s="41"/>
      <c r="AE32" s="43" t="s">
        <v>25</v>
      </c>
    </row>
    <row r="33" spans="1:31" x14ac:dyDescent="0.3">
      <c r="A33" t="s">
        <v>40</v>
      </c>
      <c r="B33" s="42" t="s">
        <v>21</v>
      </c>
      <c r="C33" s="41" t="s">
        <v>22</v>
      </c>
      <c r="D33" s="41" t="s">
        <v>23</v>
      </c>
      <c r="E33" s="41" t="s">
        <v>35</v>
      </c>
      <c r="F33" s="41">
        <v>208098</v>
      </c>
      <c r="G33" s="43">
        <v>240</v>
      </c>
      <c r="H33" s="42">
        <v>-2</v>
      </c>
      <c r="I33" s="41">
        <v>-2</v>
      </c>
      <c r="J33" s="41">
        <v>-2</v>
      </c>
      <c r="K33" s="41">
        <v>-2</v>
      </c>
      <c r="L33" s="43">
        <v>-2</v>
      </c>
      <c r="M33" s="42">
        <v>-2</v>
      </c>
      <c r="N33" s="41">
        <v>-2</v>
      </c>
      <c r="O33" s="41">
        <v>-2</v>
      </c>
      <c r="P33" s="41">
        <v>-2</v>
      </c>
      <c r="Q33" s="43">
        <v>-2</v>
      </c>
      <c r="R33" s="42">
        <v>-2</v>
      </c>
      <c r="S33" s="41">
        <v>-2</v>
      </c>
      <c r="T33" s="41">
        <v>-2</v>
      </c>
      <c r="U33" s="41">
        <v>-2</v>
      </c>
      <c r="V33" s="43">
        <v>-2</v>
      </c>
      <c r="W33" s="42">
        <v>-2</v>
      </c>
      <c r="X33" s="41">
        <v>-2</v>
      </c>
      <c r="Y33" s="41">
        <v>-2</v>
      </c>
      <c r="Z33" s="41">
        <v>-2</v>
      </c>
      <c r="AA33" s="43">
        <v>-2</v>
      </c>
      <c r="AB33" s="42" t="s">
        <v>22</v>
      </c>
      <c r="AC33" s="41" t="s">
        <v>22</v>
      </c>
      <c r="AD33" s="41"/>
      <c r="AE33" s="43" t="s">
        <v>22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workbookViewId="0">
      <selection activeCell="E42" sqref="E42"/>
    </sheetView>
  </sheetViews>
  <sheetFormatPr defaultRowHeight="13.2" x14ac:dyDescent="0.25"/>
  <cols>
    <col min="1" max="1" width="15.33203125" style="78" customWidth="1"/>
    <col min="2" max="7" width="15.6640625" style="78" customWidth="1"/>
    <col min="8" max="8" width="11.6640625" style="78" customWidth="1"/>
    <col min="9" max="9" width="15.88671875" style="78" customWidth="1"/>
    <col min="10" max="10" width="27.5546875" style="78" customWidth="1"/>
    <col min="11" max="11" width="28.44140625" style="78" customWidth="1"/>
    <col min="12" max="12" width="33.5546875" style="78" customWidth="1"/>
    <col min="13" max="13" width="36" style="78" customWidth="1"/>
    <col min="14" max="14" width="30.77734375" style="78" customWidth="1"/>
    <col min="15" max="15" width="46.88671875" style="78" customWidth="1"/>
    <col min="16" max="16" width="35.33203125" style="78" customWidth="1"/>
    <col min="17" max="17" width="25.21875" style="78" customWidth="1"/>
    <col min="18" max="18" width="30.77734375" style="78" customWidth="1"/>
    <col min="19" max="19" width="21.77734375" style="78" customWidth="1"/>
    <col min="20" max="20" width="33.44140625" style="78" customWidth="1"/>
    <col min="21" max="26" width="19.5546875" style="78" customWidth="1"/>
    <col min="27" max="27" width="15.6640625" style="78" customWidth="1"/>
    <col min="28" max="33" width="60.5546875" style="78" customWidth="1"/>
    <col min="34" max="34" width="56.6640625" style="78" customWidth="1"/>
    <col min="35" max="40" width="50.77734375" style="78" customWidth="1"/>
    <col min="41" max="41" width="46.88671875" style="78" customWidth="1"/>
    <col min="42" max="42" width="87.88671875" style="78" customWidth="1"/>
    <col min="43" max="43" width="41" style="78" customWidth="1"/>
    <col min="44" max="16384" width="8.88671875" style="78"/>
  </cols>
  <sheetData>
    <row r="1" spans="1:44" x14ac:dyDescent="0.25">
      <c r="A1" s="86" t="s">
        <v>152</v>
      </c>
    </row>
    <row r="2" spans="1:44" x14ac:dyDescent="0.25">
      <c r="A2" s="77" t="s">
        <v>171</v>
      </c>
    </row>
    <row r="4" spans="1:44" x14ac:dyDescent="0.25">
      <c r="A4" s="88" t="s">
        <v>173</v>
      </c>
      <c r="B4" s="79" t="s">
        <v>94</v>
      </c>
      <c r="C4" s="79" t="s">
        <v>95</v>
      </c>
      <c r="D4" s="79" t="s">
        <v>96</v>
      </c>
      <c r="E4" s="79" t="s">
        <v>97</v>
      </c>
      <c r="F4" s="79" t="s">
        <v>98</v>
      </c>
      <c r="G4" s="79" t="s">
        <v>99</v>
      </c>
      <c r="H4" s="79" t="s">
        <v>100</v>
      </c>
      <c r="I4" s="79" t="s">
        <v>101</v>
      </c>
      <c r="J4" s="79" t="s">
        <v>102</v>
      </c>
      <c r="K4" s="79" t="s">
        <v>103</v>
      </c>
      <c r="L4" s="79" t="s">
        <v>104</v>
      </c>
      <c r="M4" s="79" t="s">
        <v>105</v>
      </c>
      <c r="N4" s="79" t="s">
        <v>106</v>
      </c>
      <c r="O4" s="79" t="s">
        <v>107</v>
      </c>
      <c r="P4" s="79" t="s">
        <v>108</v>
      </c>
      <c r="Q4" s="79" t="s">
        <v>109</v>
      </c>
      <c r="R4" s="79" t="s">
        <v>110</v>
      </c>
      <c r="S4" s="79" t="s">
        <v>111</v>
      </c>
      <c r="T4" s="79" t="s">
        <v>112</v>
      </c>
      <c r="U4" s="79" t="s">
        <v>113</v>
      </c>
      <c r="V4" s="79" t="s">
        <v>114</v>
      </c>
      <c r="W4" s="79" t="s">
        <v>115</v>
      </c>
      <c r="X4" s="79" t="s">
        <v>116</v>
      </c>
      <c r="Y4" s="79" t="s">
        <v>117</v>
      </c>
      <c r="Z4" s="79" t="s">
        <v>118</v>
      </c>
      <c r="AA4" s="79" t="s">
        <v>119</v>
      </c>
      <c r="AB4" s="79" t="s">
        <v>120</v>
      </c>
      <c r="AC4" s="79" t="s">
        <v>121</v>
      </c>
      <c r="AD4" s="79" t="s">
        <v>122</v>
      </c>
      <c r="AE4" s="79" t="s">
        <v>123</v>
      </c>
      <c r="AF4" s="79" t="s">
        <v>124</v>
      </c>
      <c r="AG4" s="79" t="s">
        <v>125</v>
      </c>
      <c r="AH4" s="79" t="s">
        <v>126</v>
      </c>
      <c r="AI4" s="79" t="s">
        <v>127</v>
      </c>
      <c r="AJ4" s="79" t="s">
        <v>128</v>
      </c>
      <c r="AK4" s="79" t="s">
        <v>129</v>
      </c>
      <c r="AL4" s="79" t="s">
        <v>130</v>
      </c>
      <c r="AM4" s="79" t="s">
        <v>131</v>
      </c>
      <c r="AN4" s="79" t="s">
        <v>132</v>
      </c>
      <c r="AO4" s="79" t="s">
        <v>133</v>
      </c>
      <c r="AP4" s="79" t="s">
        <v>134</v>
      </c>
      <c r="AQ4" s="79" t="s">
        <v>135</v>
      </c>
      <c r="AR4" s="79" t="s">
        <v>136</v>
      </c>
    </row>
    <row r="5" spans="1:44" x14ac:dyDescent="0.25">
      <c r="A5" s="78" t="s">
        <v>26</v>
      </c>
      <c r="B5" s="80" t="s">
        <v>137</v>
      </c>
      <c r="C5" s="80" t="s">
        <v>138</v>
      </c>
      <c r="D5" s="80">
        <v>0</v>
      </c>
      <c r="E5" s="80">
        <v>0</v>
      </c>
      <c r="F5" s="80">
        <v>0</v>
      </c>
      <c r="G5" s="80">
        <v>0</v>
      </c>
      <c r="H5" s="80">
        <v>0</v>
      </c>
      <c r="I5" s="80">
        <v>0</v>
      </c>
      <c r="J5" s="80">
        <v>-2</v>
      </c>
      <c r="K5" s="80">
        <v>-2</v>
      </c>
      <c r="L5" s="80">
        <v>-2</v>
      </c>
      <c r="M5" s="80">
        <v>-2</v>
      </c>
      <c r="N5" s="80">
        <v>-2</v>
      </c>
      <c r="O5" s="80">
        <v>-2</v>
      </c>
      <c r="P5" s="80">
        <v>-2</v>
      </c>
      <c r="Q5" s="80">
        <v>-2</v>
      </c>
      <c r="R5" s="80">
        <v>-2</v>
      </c>
      <c r="S5" s="80">
        <v>-2</v>
      </c>
      <c r="T5" s="80">
        <v>-2</v>
      </c>
      <c r="U5" s="80">
        <v>-2</v>
      </c>
      <c r="V5" s="80">
        <v>-2</v>
      </c>
      <c r="W5" s="80">
        <v>-2</v>
      </c>
      <c r="X5" s="80">
        <v>0</v>
      </c>
      <c r="Y5" s="80">
        <v>0</v>
      </c>
      <c r="Z5" s="80">
        <v>0</v>
      </c>
      <c r="AA5" s="80">
        <v>0</v>
      </c>
      <c r="AB5" s="80">
        <v>0</v>
      </c>
      <c r="AC5" s="80">
        <v>-2</v>
      </c>
      <c r="AD5" s="80">
        <v>-2</v>
      </c>
      <c r="AE5" s="80">
        <v>-2</v>
      </c>
      <c r="AF5" s="80">
        <v>-2</v>
      </c>
      <c r="AG5" s="80">
        <v>-2</v>
      </c>
      <c r="AH5" s="80">
        <v>-2</v>
      </c>
      <c r="AI5" s="80">
        <v>-2</v>
      </c>
      <c r="AJ5" s="80">
        <v>-2</v>
      </c>
      <c r="AK5" s="80">
        <v>-2</v>
      </c>
      <c r="AL5" s="80">
        <v>-2</v>
      </c>
      <c r="AM5" s="80">
        <v>-2</v>
      </c>
      <c r="AN5" s="80">
        <v>-2</v>
      </c>
      <c r="AO5" s="80">
        <v>-2</v>
      </c>
      <c r="AP5" s="80">
        <v>-2</v>
      </c>
      <c r="AQ5" s="80" t="s">
        <v>139</v>
      </c>
      <c r="AR5" s="80" t="s">
        <v>140</v>
      </c>
    </row>
    <row r="6" spans="1:44" x14ac:dyDescent="0.25">
      <c r="A6" s="78" t="s">
        <v>172</v>
      </c>
      <c r="B6" s="80" t="s">
        <v>141</v>
      </c>
      <c r="C6" s="80" t="s">
        <v>138</v>
      </c>
      <c r="D6" s="80">
        <v>27700</v>
      </c>
      <c r="E6" s="80">
        <v>400</v>
      </c>
      <c r="F6" s="80">
        <v>0</v>
      </c>
      <c r="G6" s="80">
        <v>0</v>
      </c>
      <c r="H6" s="80">
        <v>0</v>
      </c>
      <c r="I6" s="80">
        <v>0</v>
      </c>
      <c r="J6" s="80">
        <v>-2</v>
      </c>
      <c r="K6" s="80">
        <v>-2</v>
      </c>
      <c r="L6" s="80">
        <v>-2</v>
      </c>
      <c r="M6" s="80">
        <v>-2</v>
      </c>
      <c r="N6" s="80">
        <v>-2</v>
      </c>
      <c r="O6" s="80">
        <v>-2</v>
      </c>
      <c r="P6" s="80">
        <v>-2</v>
      </c>
      <c r="Q6" s="80">
        <v>-2</v>
      </c>
      <c r="R6" s="80">
        <v>-2</v>
      </c>
      <c r="S6" s="80">
        <v>-2</v>
      </c>
      <c r="T6" s="80">
        <v>-2</v>
      </c>
      <c r="U6" s="80">
        <v>-2</v>
      </c>
      <c r="V6" s="80">
        <v>-2</v>
      </c>
      <c r="W6" s="80">
        <v>-2</v>
      </c>
      <c r="X6" s="80">
        <v>10300</v>
      </c>
      <c r="Y6" s="80">
        <v>0</v>
      </c>
      <c r="Z6" s="80">
        <v>0</v>
      </c>
      <c r="AA6" s="80">
        <v>0</v>
      </c>
      <c r="AB6" s="80">
        <v>0</v>
      </c>
      <c r="AC6" s="80">
        <v>-2</v>
      </c>
      <c r="AD6" s="80">
        <v>-2</v>
      </c>
      <c r="AE6" s="80">
        <v>-2</v>
      </c>
      <c r="AF6" s="80">
        <v>-2</v>
      </c>
      <c r="AG6" s="80">
        <v>-2</v>
      </c>
      <c r="AH6" s="80">
        <v>-2</v>
      </c>
      <c r="AI6" s="80">
        <v>-2</v>
      </c>
      <c r="AJ6" s="80">
        <v>-2</v>
      </c>
      <c r="AK6" s="80">
        <v>-2</v>
      </c>
      <c r="AL6" s="80">
        <v>-2</v>
      </c>
      <c r="AM6" s="80">
        <v>-2</v>
      </c>
      <c r="AN6" s="80">
        <v>-2</v>
      </c>
      <c r="AO6" s="80">
        <v>-2</v>
      </c>
      <c r="AP6" s="80">
        <v>-2</v>
      </c>
      <c r="AQ6" s="80" t="s">
        <v>139</v>
      </c>
      <c r="AR6" s="80" t="s">
        <v>140</v>
      </c>
    </row>
    <row r="7" spans="1:44" x14ac:dyDescent="0.25">
      <c r="A7" s="78" t="s">
        <v>35</v>
      </c>
      <c r="B7" s="80" t="s">
        <v>142</v>
      </c>
      <c r="C7" s="80" t="s">
        <v>138</v>
      </c>
      <c r="D7" s="80">
        <v>30800</v>
      </c>
      <c r="E7" s="80">
        <v>12600</v>
      </c>
      <c r="F7" s="80">
        <v>2200</v>
      </c>
      <c r="G7" s="80">
        <v>0</v>
      </c>
      <c r="H7" s="80">
        <v>0</v>
      </c>
      <c r="I7" s="80">
        <v>0</v>
      </c>
      <c r="J7" s="80">
        <v>-2</v>
      </c>
      <c r="K7" s="80">
        <v>-2</v>
      </c>
      <c r="L7" s="80">
        <v>-2</v>
      </c>
      <c r="M7" s="80">
        <v>-2</v>
      </c>
      <c r="N7" s="80">
        <v>-2</v>
      </c>
      <c r="O7" s="80">
        <v>-2</v>
      </c>
      <c r="P7" s="80">
        <v>-2</v>
      </c>
      <c r="Q7" s="80">
        <v>-2</v>
      </c>
      <c r="R7" s="80">
        <v>-2</v>
      </c>
      <c r="S7" s="80">
        <v>-2</v>
      </c>
      <c r="T7" s="80">
        <v>-2</v>
      </c>
      <c r="U7" s="80">
        <v>-2</v>
      </c>
      <c r="V7" s="80">
        <v>-2</v>
      </c>
      <c r="W7" s="80">
        <v>-2</v>
      </c>
      <c r="X7" s="80">
        <v>18600</v>
      </c>
      <c r="Y7" s="80">
        <v>5500</v>
      </c>
      <c r="Z7" s="80">
        <v>300</v>
      </c>
      <c r="AA7" s="80">
        <v>0</v>
      </c>
      <c r="AB7" s="80">
        <v>0</v>
      </c>
      <c r="AC7" s="80">
        <v>-2</v>
      </c>
      <c r="AD7" s="80">
        <v>-2</v>
      </c>
      <c r="AE7" s="80">
        <v>-2</v>
      </c>
      <c r="AF7" s="80">
        <v>-2</v>
      </c>
      <c r="AG7" s="80">
        <v>-2</v>
      </c>
      <c r="AH7" s="80">
        <v>-2</v>
      </c>
      <c r="AI7" s="80">
        <v>-2</v>
      </c>
      <c r="AJ7" s="80">
        <v>-2</v>
      </c>
      <c r="AK7" s="80">
        <v>-2</v>
      </c>
      <c r="AL7" s="80">
        <v>-2</v>
      </c>
      <c r="AM7" s="80">
        <v>-2</v>
      </c>
      <c r="AN7" s="80">
        <v>-2</v>
      </c>
      <c r="AO7" s="80">
        <v>-2</v>
      </c>
      <c r="AP7" s="80">
        <v>-2</v>
      </c>
      <c r="AQ7" s="80" t="s">
        <v>139</v>
      </c>
      <c r="AR7" s="80" t="s">
        <v>140</v>
      </c>
    </row>
    <row r="10" spans="1:44" x14ac:dyDescent="0.25">
      <c r="B10" s="80" t="s">
        <v>174</v>
      </c>
    </row>
    <row r="11" spans="1:44" x14ac:dyDescent="0.25">
      <c r="A11" s="79"/>
      <c r="B11" s="93" t="s">
        <v>143</v>
      </c>
      <c r="C11" s="93"/>
      <c r="D11" s="93"/>
    </row>
    <row r="12" spans="1:44" x14ac:dyDescent="0.25">
      <c r="B12" s="80" t="s">
        <v>137</v>
      </c>
      <c r="C12" s="80" t="s">
        <v>141</v>
      </c>
      <c r="D12" s="80" t="s">
        <v>142</v>
      </c>
    </row>
    <row r="13" spans="1:44" x14ac:dyDescent="0.25">
      <c r="A13" s="81" t="s">
        <v>144</v>
      </c>
      <c r="B13" s="78" t="s">
        <v>26</v>
      </c>
      <c r="C13" s="78" t="s">
        <v>24</v>
      </c>
      <c r="D13" s="78" t="s">
        <v>35</v>
      </c>
    </row>
    <row r="14" spans="1:44" x14ac:dyDescent="0.25">
      <c r="A14" s="81" t="s">
        <v>42</v>
      </c>
    </row>
    <row r="15" spans="1:44" x14ac:dyDescent="0.25">
      <c r="A15" s="81" t="s">
        <v>96</v>
      </c>
      <c r="B15" s="80">
        <v>0</v>
      </c>
      <c r="C15" s="80">
        <v>27700</v>
      </c>
      <c r="D15" s="80">
        <v>30800</v>
      </c>
    </row>
    <row r="16" spans="1:44" x14ac:dyDescent="0.25">
      <c r="A16" s="81" t="s">
        <v>97</v>
      </c>
      <c r="B16" s="80">
        <v>0</v>
      </c>
      <c r="C16" s="89">
        <v>400</v>
      </c>
      <c r="D16" s="89">
        <v>12600</v>
      </c>
    </row>
    <row r="17" spans="1:4" x14ac:dyDescent="0.25">
      <c r="A17" s="81" t="s">
        <v>98</v>
      </c>
      <c r="B17" s="80">
        <v>0</v>
      </c>
      <c r="C17" s="89">
        <v>0</v>
      </c>
      <c r="D17" s="89">
        <v>2200</v>
      </c>
    </row>
    <row r="18" spans="1:4" x14ac:dyDescent="0.25">
      <c r="A18" s="81" t="s">
        <v>99</v>
      </c>
      <c r="B18" s="80">
        <v>0</v>
      </c>
      <c r="C18" s="89">
        <v>0</v>
      </c>
      <c r="D18" s="89">
        <v>0</v>
      </c>
    </row>
    <row r="19" spans="1:4" x14ac:dyDescent="0.25">
      <c r="A19" s="81" t="s">
        <v>100</v>
      </c>
      <c r="B19" s="80">
        <v>0</v>
      </c>
      <c r="C19" s="89">
        <v>0</v>
      </c>
      <c r="D19" s="89">
        <v>0</v>
      </c>
    </row>
    <row r="20" spans="1:4" x14ac:dyDescent="0.25">
      <c r="A20" s="81" t="s">
        <v>101</v>
      </c>
      <c r="B20" s="80">
        <v>0</v>
      </c>
      <c r="C20" s="89">
        <v>0</v>
      </c>
      <c r="D20" s="89">
        <v>0</v>
      </c>
    </row>
    <row r="21" spans="1:4" x14ac:dyDescent="0.25">
      <c r="A21" s="81" t="s">
        <v>43</v>
      </c>
      <c r="B21" s="80"/>
      <c r="C21" s="89"/>
      <c r="D21" s="89"/>
    </row>
    <row r="22" spans="1:4" x14ac:dyDescent="0.25">
      <c r="A22" s="81" t="s">
        <v>114</v>
      </c>
      <c r="B22" s="80">
        <v>-2</v>
      </c>
      <c r="C22" s="89">
        <v>-2</v>
      </c>
      <c r="D22" s="89">
        <v>-2</v>
      </c>
    </row>
    <row r="23" spans="1:4" x14ac:dyDescent="0.25">
      <c r="A23" s="81" t="s">
        <v>115</v>
      </c>
      <c r="B23" s="80">
        <v>-2</v>
      </c>
      <c r="C23" s="89">
        <v>-2</v>
      </c>
      <c r="D23" s="89">
        <v>-2</v>
      </c>
    </row>
    <row r="24" spans="1:4" x14ac:dyDescent="0.25">
      <c r="A24" s="81" t="s">
        <v>116</v>
      </c>
      <c r="B24" s="80">
        <v>0</v>
      </c>
      <c r="C24" s="89">
        <v>10300</v>
      </c>
      <c r="D24" s="89">
        <v>18600</v>
      </c>
    </row>
    <row r="25" spans="1:4" x14ac:dyDescent="0.25">
      <c r="A25" s="81" t="s">
        <v>117</v>
      </c>
      <c r="B25" s="80">
        <v>0</v>
      </c>
      <c r="C25" s="89">
        <v>0</v>
      </c>
      <c r="D25" s="89">
        <v>5500</v>
      </c>
    </row>
    <row r="26" spans="1:4" x14ac:dyDescent="0.25">
      <c r="A26" s="81" t="s">
        <v>118</v>
      </c>
      <c r="B26" s="80">
        <v>0</v>
      </c>
      <c r="C26" s="89">
        <v>0</v>
      </c>
      <c r="D26" s="89">
        <v>300</v>
      </c>
    </row>
    <row r="27" spans="1:4" x14ac:dyDescent="0.25">
      <c r="A27" s="81" t="s">
        <v>119</v>
      </c>
      <c r="B27" s="80">
        <v>0</v>
      </c>
      <c r="C27" s="89">
        <v>0</v>
      </c>
      <c r="D27" s="89">
        <v>0</v>
      </c>
    </row>
    <row r="28" spans="1:4" x14ac:dyDescent="0.25">
      <c r="A28" s="81" t="s">
        <v>120</v>
      </c>
      <c r="B28" s="80">
        <v>0</v>
      </c>
      <c r="C28" s="80">
        <v>0</v>
      </c>
      <c r="D28" s="80">
        <v>0</v>
      </c>
    </row>
    <row r="31" spans="1:4" x14ac:dyDescent="0.25">
      <c r="B31" s="78" t="s">
        <v>145</v>
      </c>
      <c r="C31" s="78" t="s">
        <v>146</v>
      </c>
    </row>
    <row r="32" spans="1:4" x14ac:dyDescent="0.25">
      <c r="A32" s="82" t="s">
        <v>24</v>
      </c>
      <c r="B32" s="78">
        <f>SUM(C16:C17)</f>
        <v>400</v>
      </c>
      <c r="C32" s="78">
        <f>SUM(C24:C26)</f>
        <v>10300</v>
      </c>
    </row>
    <row r="33" spans="1:3" x14ac:dyDescent="0.25">
      <c r="A33" s="82" t="s">
        <v>35</v>
      </c>
      <c r="B33" s="78">
        <f>SUM(D16:D17)</f>
        <v>14800</v>
      </c>
      <c r="C33" s="78">
        <f>SUM(D24:D26)</f>
        <v>24400</v>
      </c>
    </row>
    <row r="36" spans="1:3" x14ac:dyDescent="0.25">
      <c r="A36" s="83" t="s">
        <v>42</v>
      </c>
      <c r="B36" s="82" t="s">
        <v>24</v>
      </c>
      <c r="C36" s="82" t="s">
        <v>35</v>
      </c>
    </row>
    <row r="37" spans="1:3" x14ac:dyDescent="0.25">
      <c r="A37" s="47" t="s">
        <v>10</v>
      </c>
      <c r="B37" s="78">
        <f>C16</f>
        <v>400</v>
      </c>
      <c r="C37" s="78">
        <f>D16</f>
        <v>12600</v>
      </c>
    </row>
    <row r="38" spans="1:3" x14ac:dyDescent="0.25">
      <c r="A38" s="47" t="s">
        <v>11</v>
      </c>
      <c r="B38" s="78">
        <v>0</v>
      </c>
      <c r="C38" s="78">
        <f>D17</f>
        <v>2200</v>
      </c>
    </row>
    <row r="39" spans="1:3" x14ac:dyDescent="0.25">
      <c r="A39" s="47" t="s">
        <v>12</v>
      </c>
      <c r="B39" s="78">
        <v>0</v>
      </c>
      <c r="C39" s="78">
        <v>0</v>
      </c>
    </row>
    <row r="40" spans="1:3" x14ac:dyDescent="0.25">
      <c r="A40" s="47" t="s">
        <v>13</v>
      </c>
      <c r="B40" s="78">
        <v>0</v>
      </c>
      <c r="C40" s="78">
        <v>0</v>
      </c>
    </row>
    <row r="41" spans="1:3" x14ac:dyDescent="0.25">
      <c r="A41" s="47" t="s">
        <v>14</v>
      </c>
      <c r="B41" s="78">
        <v>0</v>
      </c>
      <c r="C41" s="78">
        <v>0</v>
      </c>
    </row>
    <row r="42" spans="1:3" x14ac:dyDescent="0.25">
      <c r="A42" s="84" t="s">
        <v>43</v>
      </c>
    </row>
    <row r="43" spans="1:3" x14ac:dyDescent="0.25">
      <c r="A43" s="49" t="s">
        <v>93</v>
      </c>
      <c r="B43" s="78">
        <f>C24</f>
        <v>10300</v>
      </c>
      <c r="C43" s="78">
        <f>D24</f>
        <v>18600</v>
      </c>
    </row>
    <row r="44" spans="1:3" x14ac:dyDescent="0.25">
      <c r="A44" s="49" t="s">
        <v>10</v>
      </c>
      <c r="B44" s="78">
        <f t="shared" ref="B44:C47" si="0">C25</f>
        <v>0</v>
      </c>
      <c r="C44" s="78">
        <f t="shared" si="0"/>
        <v>5500</v>
      </c>
    </row>
    <row r="45" spans="1:3" x14ac:dyDescent="0.25">
      <c r="A45" s="49" t="s">
        <v>11</v>
      </c>
      <c r="B45" s="78">
        <f t="shared" si="0"/>
        <v>0</v>
      </c>
      <c r="C45" s="78">
        <f t="shared" si="0"/>
        <v>300</v>
      </c>
    </row>
    <row r="46" spans="1:3" x14ac:dyDescent="0.25">
      <c r="A46" s="49" t="s">
        <v>12</v>
      </c>
      <c r="B46" s="78">
        <f t="shared" si="0"/>
        <v>0</v>
      </c>
      <c r="C46" s="78">
        <f t="shared" si="0"/>
        <v>0</v>
      </c>
    </row>
    <row r="47" spans="1:3" x14ac:dyDescent="0.25">
      <c r="A47" s="49" t="s">
        <v>16</v>
      </c>
      <c r="B47" s="78">
        <f t="shared" si="0"/>
        <v>0</v>
      </c>
      <c r="C47" s="78">
        <f t="shared" si="0"/>
        <v>0</v>
      </c>
    </row>
  </sheetData>
  <mergeCells count="1">
    <mergeCell ref="B11:D11"/>
  </mergeCells>
  <hyperlinks>
    <hyperlink ref="A2" r:id="rId1" display="http://cdr.eionet.europa.eu/fi/eu/noise/df8/2017/envwjdfiq/FI_d_DF4_8_MAir_2017_del.xls/manage_document "/>
  </hyperlinks>
  <pageMargins left="0.75" right="0.75" top="1" bottom="1" header="0.5" footer="0.5"/>
  <pageSetup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zoomScale="90" zoomScaleNormal="90" workbookViewId="0">
      <selection activeCell="N7" sqref="N7"/>
    </sheetView>
  </sheetViews>
  <sheetFormatPr defaultRowHeight="14.4" x14ac:dyDescent="0.3"/>
  <cols>
    <col min="17" max="17" width="11.5546875" bestFit="1" customWidth="1"/>
    <col min="18" max="18" width="10.109375" customWidth="1"/>
    <col min="19" max="22" width="11.5546875" bestFit="1" customWidth="1"/>
  </cols>
  <sheetData>
    <row r="1" spans="1:16" x14ac:dyDescent="0.3">
      <c r="B1" s="76" t="s">
        <v>154</v>
      </c>
    </row>
    <row r="2" spans="1:16" x14ac:dyDescent="0.3">
      <c r="B2" s="44" t="s">
        <v>176</v>
      </c>
      <c r="C2" s="45"/>
      <c r="D2" s="45"/>
      <c r="E2" s="45"/>
      <c r="F2" s="45"/>
      <c r="G2" s="45"/>
      <c r="H2" s="45"/>
      <c r="I2" s="45"/>
      <c r="J2" s="45"/>
      <c r="K2" s="45"/>
      <c r="L2" s="45"/>
      <c r="P2" s="50"/>
    </row>
    <row r="3" spans="1:16" x14ac:dyDescent="0.3">
      <c r="A3" t="s">
        <v>44</v>
      </c>
      <c r="B3" s="44" t="s">
        <v>42</v>
      </c>
      <c r="C3" s="46" t="s">
        <v>24</v>
      </c>
      <c r="D3" s="46" t="s">
        <v>26</v>
      </c>
      <c r="E3" s="46" t="s">
        <v>27</v>
      </c>
      <c r="F3" s="46" t="s">
        <v>28</v>
      </c>
      <c r="G3" s="46" t="s">
        <v>30</v>
      </c>
      <c r="H3" s="46" t="s">
        <v>31</v>
      </c>
      <c r="I3" s="46" t="s">
        <v>32</v>
      </c>
      <c r="J3" s="46" t="s">
        <v>33</v>
      </c>
      <c r="K3" s="46" t="s">
        <v>34</v>
      </c>
      <c r="L3" s="46" t="s">
        <v>35</v>
      </c>
      <c r="N3" t="s">
        <v>47</v>
      </c>
      <c r="P3" t="s">
        <v>48</v>
      </c>
    </row>
    <row r="4" spans="1:16" x14ac:dyDescent="0.3">
      <c r="B4" s="47" t="s">
        <v>10</v>
      </c>
      <c r="C4" s="46">
        <v>35700</v>
      </c>
      <c r="D4" s="46">
        <v>85800</v>
      </c>
      <c r="E4" s="46">
        <v>17300</v>
      </c>
      <c r="F4" s="46">
        <v>1400</v>
      </c>
      <c r="G4" s="46">
        <v>17600</v>
      </c>
      <c r="H4" s="46">
        <v>13400</v>
      </c>
      <c r="I4" s="46">
        <v>24300</v>
      </c>
      <c r="J4" s="46">
        <v>19100</v>
      </c>
      <c r="K4" s="46">
        <v>24500</v>
      </c>
      <c r="L4" s="46">
        <v>35700</v>
      </c>
      <c r="N4" s="50">
        <v>55</v>
      </c>
      <c r="O4" s="50">
        <v>59</v>
      </c>
      <c r="P4" s="52">
        <f>AVERAGE(N4:O4)</f>
        <v>57</v>
      </c>
    </row>
    <row r="5" spans="1:16" x14ac:dyDescent="0.3">
      <c r="B5" s="47" t="s">
        <v>11</v>
      </c>
      <c r="C5" s="46">
        <v>15900</v>
      </c>
      <c r="D5" s="46">
        <v>50700</v>
      </c>
      <c r="E5" s="46">
        <v>8800</v>
      </c>
      <c r="F5" s="46">
        <v>600</v>
      </c>
      <c r="G5" s="46">
        <v>10600</v>
      </c>
      <c r="H5" s="46">
        <v>5600</v>
      </c>
      <c r="I5" s="46">
        <v>9400</v>
      </c>
      <c r="J5" s="46">
        <v>11200</v>
      </c>
      <c r="K5" s="46">
        <v>15400</v>
      </c>
      <c r="L5" s="46">
        <v>15500</v>
      </c>
      <c r="N5" s="50">
        <v>60</v>
      </c>
      <c r="O5" s="50">
        <v>64</v>
      </c>
      <c r="P5" s="52">
        <f t="shared" ref="P5:P14" si="0">AVERAGE(N5:O5)</f>
        <v>62</v>
      </c>
    </row>
    <row r="6" spans="1:16" x14ac:dyDescent="0.3">
      <c r="B6" s="47" t="s">
        <v>12</v>
      </c>
      <c r="C6" s="46">
        <v>3200</v>
      </c>
      <c r="D6" s="46">
        <v>18400</v>
      </c>
      <c r="E6" s="46">
        <v>4100</v>
      </c>
      <c r="F6" s="46">
        <v>0</v>
      </c>
      <c r="G6" s="46">
        <v>3500</v>
      </c>
      <c r="H6" s="46">
        <v>2900</v>
      </c>
      <c r="I6" s="46">
        <v>2800</v>
      </c>
      <c r="J6" s="46">
        <v>4600</v>
      </c>
      <c r="K6" s="46">
        <v>7600</v>
      </c>
      <c r="L6" s="46">
        <v>3200</v>
      </c>
      <c r="N6" s="50">
        <v>65</v>
      </c>
      <c r="O6" s="50">
        <v>69</v>
      </c>
      <c r="P6" s="52">
        <f t="shared" si="0"/>
        <v>67</v>
      </c>
    </row>
    <row r="7" spans="1:16" x14ac:dyDescent="0.3">
      <c r="B7" s="47" t="s">
        <v>13</v>
      </c>
      <c r="C7" s="46">
        <v>200</v>
      </c>
      <c r="D7" s="46">
        <v>8200</v>
      </c>
      <c r="E7" s="46">
        <v>300</v>
      </c>
      <c r="F7" s="46">
        <v>0</v>
      </c>
      <c r="G7" s="46">
        <v>400</v>
      </c>
      <c r="H7" s="46">
        <v>900</v>
      </c>
      <c r="I7" s="46">
        <v>500</v>
      </c>
      <c r="J7" s="46">
        <v>100</v>
      </c>
      <c r="K7" s="46">
        <v>2600</v>
      </c>
      <c r="L7" s="46">
        <v>300</v>
      </c>
      <c r="N7" s="50">
        <v>70</v>
      </c>
      <c r="O7" s="50">
        <v>74</v>
      </c>
      <c r="P7" s="52">
        <f t="shared" si="0"/>
        <v>72</v>
      </c>
    </row>
    <row r="8" spans="1:16" x14ac:dyDescent="0.3">
      <c r="B8" s="47" t="s">
        <v>14</v>
      </c>
      <c r="C8" s="46">
        <v>0</v>
      </c>
      <c r="D8" s="46">
        <v>100</v>
      </c>
      <c r="E8" s="46">
        <v>0</v>
      </c>
      <c r="F8" s="46">
        <v>0</v>
      </c>
      <c r="G8" s="46">
        <v>0</v>
      </c>
      <c r="H8" s="46">
        <v>0</v>
      </c>
      <c r="I8" s="46">
        <v>100</v>
      </c>
      <c r="J8" s="46">
        <v>0</v>
      </c>
      <c r="K8" s="46">
        <v>0</v>
      </c>
      <c r="L8" s="46">
        <v>0</v>
      </c>
      <c r="N8" s="50">
        <v>75</v>
      </c>
      <c r="O8" s="50">
        <v>80</v>
      </c>
      <c r="P8">
        <f t="shared" si="0"/>
        <v>77.5</v>
      </c>
    </row>
    <row r="9" spans="1:16" x14ac:dyDescent="0.3">
      <c r="B9" s="48" t="s">
        <v>43</v>
      </c>
      <c r="C9" s="45"/>
      <c r="D9" s="45"/>
      <c r="E9" s="45"/>
      <c r="F9" s="45"/>
      <c r="G9" s="45"/>
      <c r="H9" s="45"/>
      <c r="I9" s="45"/>
      <c r="J9" s="45"/>
      <c r="K9" s="45"/>
      <c r="L9" s="45"/>
    </row>
    <row r="10" spans="1:16" x14ac:dyDescent="0.3">
      <c r="B10" s="49" t="s">
        <v>15</v>
      </c>
      <c r="C10" s="46">
        <v>19100</v>
      </c>
      <c r="D10" s="46">
        <v>59300</v>
      </c>
      <c r="E10" s="46">
        <v>11200</v>
      </c>
      <c r="F10" s="46">
        <v>700</v>
      </c>
      <c r="G10" s="46">
        <v>12500</v>
      </c>
      <c r="H10" s="46">
        <v>7900</v>
      </c>
      <c r="I10" s="46">
        <v>13100</v>
      </c>
      <c r="J10" s="46">
        <v>11900</v>
      </c>
      <c r="K10" s="46">
        <v>16800</v>
      </c>
      <c r="L10" s="46">
        <v>21100</v>
      </c>
      <c r="N10" s="50">
        <v>50</v>
      </c>
      <c r="O10" s="50">
        <v>54</v>
      </c>
      <c r="P10">
        <f t="shared" si="0"/>
        <v>52</v>
      </c>
    </row>
    <row r="11" spans="1:16" x14ac:dyDescent="0.3">
      <c r="B11" s="49" t="s">
        <v>10</v>
      </c>
      <c r="C11" s="46">
        <v>4800</v>
      </c>
      <c r="D11" s="46">
        <v>20400</v>
      </c>
      <c r="E11" s="46">
        <v>5000</v>
      </c>
      <c r="F11" s="46">
        <v>100</v>
      </c>
      <c r="G11" s="46">
        <v>4500</v>
      </c>
      <c r="H11" s="46">
        <v>3300</v>
      </c>
      <c r="I11" s="46">
        <v>4400</v>
      </c>
      <c r="J11" s="46">
        <v>5400</v>
      </c>
      <c r="K11" s="46">
        <v>7900</v>
      </c>
      <c r="L11" s="46">
        <v>5800</v>
      </c>
      <c r="N11" s="50">
        <v>55</v>
      </c>
      <c r="O11" s="50">
        <v>59</v>
      </c>
      <c r="P11">
        <f t="shared" si="0"/>
        <v>57</v>
      </c>
    </row>
    <row r="12" spans="1:16" x14ac:dyDescent="0.3">
      <c r="B12" s="49" t="s">
        <v>11</v>
      </c>
      <c r="C12" s="46">
        <v>300</v>
      </c>
      <c r="D12" s="46">
        <v>9600</v>
      </c>
      <c r="E12" s="46">
        <v>900</v>
      </c>
      <c r="F12" s="46">
        <v>0</v>
      </c>
      <c r="G12" s="46">
        <v>700</v>
      </c>
      <c r="H12" s="46">
        <v>1000</v>
      </c>
      <c r="I12" s="46">
        <v>800</v>
      </c>
      <c r="J12" s="46">
        <v>200</v>
      </c>
      <c r="K12" s="46">
        <v>2800</v>
      </c>
      <c r="L12" s="46">
        <v>500</v>
      </c>
      <c r="N12" s="50">
        <v>60</v>
      </c>
      <c r="O12" s="50">
        <v>64</v>
      </c>
      <c r="P12">
        <f t="shared" si="0"/>
        <v>62</v>
      </c>
    </row>
    <row r="13" spans="1:16" x14ac:dyDescent="0.3">
      <c r="B13" s="49" t="s">
        <v>12</v>
      </c>
      <c r="C13" s="46">
        <v>0</v>
      </c>
      <c r="D13" s="46">
        <v>400</v>
      </c>
      <c r="E13" s="46">
        <v>0</v>
      </c>
      <c r="F13" s="46">
        <v>0</v>
      </c>
      <c r="G13" s="46">
        <v>0</v>
      </c>
      <c r="H13" s="46">
        <v>0</v>
      </c>
      <c r="I13" s="46">
        <v>100</v>
      </c>
      <c r="J13" s="46">
        <v>0</v>
      </c>
      <c r="K13" s="46">
        <v>0</v>
      </c>
      <c r="L13" s="46">
        <v>100</v>
      </c>
      <c r="N13" s="50">
        <v>65</v>
      </c>
      <c r="O13" s="50">
        <v>69</v>
      </c>
      <c r="P13">
        <f t="shared" si="0"/>
        <v>67</v>
      </c>
    </row>
    <row r="14" spans="1:16" x14ac:dyDescent="0.3">
      <c r="B14" s="49" t="s">
        <v>16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N14" s="50">
        <v>70</v>
      </c>
      <c r="O14" s="50">
        <v>74</v>
      </c>
      <c r="P14">
        <f t="shared" si="0"/>
        <v>72</v>
      </c>
    </row>
    <row r="15" spans="1:16" x14ac:dyDescent="0.3">
      <c r="A15" t="s">
        <v>45</v>
      </c>
      <c r="B15" s="44" t="s">
        <v>42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</row>
    <row r="16" spans="1:16" x14ac:dyDescent="0.3">
      <c r="B16" s="47" t="s">
        <v>10</v>
      </c>
      <c r="C16" s="46">
        <v>1100</v>
      </c>
      <c r="D16" s="46">
        <v>15800</v>
      </c>
      <c r="E16" s="46">
        <v>2400</v>
      </c>
      <c r="F16" s="46">
        <v>200</v>
      </c>
      <c r="G16" s="46">
        <v>700</v>
      </c>
      <c r="H16" s="46">
        <v>7500</v>
      </c>
      <c r="I16" s="46">
        <v>10900</v>
      </c>
      <c r="J16" s="46">
        <v>5200</v>
      </c>
      <c r="K16" s="46">
        <v>1200</v>
      </c>
      <c r="L16" s="46">
        <v>4300</v>
      </c>
    </row>
    <row r="17" spans="1:29" x14ac:dyDescent="0.3">
      <c r="B17" s="47" t="s">
        <v>11</v>
      </c>
      <c r="C17" s="46">
        <v>100</v>
      </c>
      <c r="D17" s="46">
        <v>11800</v>
      </c>
      <c r="E17" s="46">
        <v>800</v>
      </c>
      <c r="F17" s="46">
        <v>100</v>
      </c>
      <c r="G17" s="46">
        <v>200</v>
      </c>
      <c r="H17" s="46">
        <v>2300</v>
      </c>
      <c r="I17" s="46">
        <v>4100</v>
      </c>
      <c r="J17" s="46">
        <v>2900</v>
      </c>
      <c r="K17" s="46">
        <v>300</v>
      </c>
      <c r="L17" s="46">
        <v>1800</v>
      </c>
    </row>
    <row r="18" spans="1:29" x14ac:dyDescent="0.3">
      <c r="B18" s="47" t="s">
        <v>12</v>
      </c>
      <c r="C18" s="46">
        <v>0</v>
      </c>
      <c r="D18" s="46">
        <v>4800</v>
      </c>
      <c r="E18" s="46">
        <v>400</v>
      </c>
      <c r="F18" s="46">
        <v>0</v>
      </c>
      <c r="G18" s="46">
        <v>0</v>
      </c>
      <c r="H18" s="46">
        <v>600</v>
      </c>
      <c r="I18" s="46">
        <v>1800</v>
      </c>
      <c r="J18" s="46">
        <v>1800</v>
      </c>
      <c r="K18" s="46">
        <v>0</v>
      </c>
      <c r="L18" s="46">
        <v>500</v>
      </c>
    </row>
    <row r="19" spans="1:29" x14ac:dyDescent="0.3">
      <c r="B19" s="47" t="s">
        <v>13</v>
      </c>
      <c r="C19" s="46">
        <v>0</v>
      </c>
      <c r="D19" s="46">
        <v>1300</v>
      </c>
      <c r="E19" s="46">
        <v>0</v>
      </c>
      <c r="F19" s="46">
        <v>0</v>
      </c>
      <c r="G19" s="46">
        <v>0</v>
      </c>
      <c r="H19" s="46">
        <v>400</v>
      </c>
      <c r="I19" s="46">
        <v>300</v>
      </c>
      <c r="J19" s="46">
        <v>1000</v>
      </c>
      <c r="K19" s="46">
        <v>0</v>
      </c>
      <c r="L19" s="46">
        <v>100</v>
      </c>
    </row>
    <row r="20" spans="1:29" x14ac:dyDescent="0.3">
      <c r="B20" s="47" t="s">
        <v>14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500</v>
      </c>
      <c r="K20" s="46">
        <v>0</v>
      </c>
      <c r="L20" s="46">
        <v>0</v>
      </c>
    </row>
    <row r="21" spans="1:29" x14ac:dyDescent="0.3">
      <c r="B21" s="48" t="s">
        <v>43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</row>
    <row r="22" spans="1:29" x14ac:dyDescent="0.3">
      <c r="B22" s="49" t="s">
        <v>15</v>
      </c>
      <c r="C22" s="46">
        <v>300</v>
      </c>
      <c r="D22" s="46">
        <v>13500</v>
      </c>
      <c r="E22" s="46">
        <v>1700</v>
      </c>
      <c r="F22" s="46">
        <v>100</v>
      </c>
      <c r="G22" s="46">
        <v>700</v>
      </c>
      <c r="H22" s="46">
        <v>6100</v>
      </c>
      <c r="I22" s="46">
        <v>8400</v>
      </c>
      <c r="J22" s="46">
        <v>4500</v>
      </c>
      <c r="K22" s="46">
        <v>900</v>
      </c>
      <c r="L22" s="46">
        <v>2500</v>
      </c>
    </row>
    <row r="23" spans="1:29" x14ac:dyDescent="0.3">
      <c r="B23" s="49" t="s">
        <v>10</v>
      </c>
      <c r="C23" s="46">
        <v>0</v>
      </c>
      <c r="D23" s="46">
        <v>6300</v>
      </c>
      <c r="E23" s="46">
        <v>700</v>
      </c>
      <c r="F23" s="46">
        <v>0</v>
      </c>
      <c r="G23" s="46">
        <v>100</v>
      </c>
      <c r="H23" s="46">
        <v>1600</v>
      </c>
      <c r="I23" s="46">
        <v>3400</v>
      </c>
      <c r="J23" s="46">
        <v>2400</v>
      </c>
      <c r="K23" s="46">
        <v>100</v>
      </c>
      <c r="L23" s="46">
        <v>800</v>
      </c>
      <c r="R23" t="s">
        <v>42</v>
      </c>
      <c r="U23" t="s">
        <v>43</v>
      </c>
    </row>
    <row r="24" spans="1:29" x14ac:dyDescent="0.3">
      <c r="B24" s="49" t="s">
        <v>11</v>
      </c>
      <c r="C24" s="46">
        <v>0</v>
      </c>
      <c r="D24" s="46">
        <v>1800</v>
      </c>
      <c r="E24" s="46">
        <v>200</v>
      </c>
      <c r="F24" s="46">
        <v>0</v>
      </c>
      <c r="G24" s="46">
        <v>0</v>
      </c>
      <c r="H24" s="46">
        <v>600</v>
      </c>
      <c r="I24" s="46">
        <v>1200</v>
      </c>
      <c r="J24" s="46">
        <v>1500</v>
      </c>
      <c r="K24" s="46">
        <v>0</v>
      </c>
      <c r="L24" s="46">
        <v>100</v>
      </c>
      <c r="P24" t="s">
        <v>86</v>
      </c>
      <c r="Q24" t="s">
        <v>92</v>
      </c>
      <c r="R24" t="s">
        <v>83</v>
      </c>
      <c r="S24" t="s">
        <v>84</v>
      </c>
      <c r="T24" t="s">
        <v>85</v>
      </c>
      <c r="U24" t="s">
        <v>83</v>
      </c>
      <c r="V24" t="s">
        <v>84</v>
      </c>
      <c r="W24" t="s">
        <v>85</v>
      </c>
      <c r="Z24" t="s">
        <v>147</v>
      </c>
      <c r="AA24" t="s">
        <v>148</v>
      </c>
      <c r="AB24" t="s">
        <v>149</v>
      </c>
      <c r="AC24" t="s">
        <v>150</v>
      </c>
    </row>
    <row r="25" spans="1:29" x14ac:dyDescent="0.3">
      <c r="B25" s="49" t="s">
        <v>12</v>
      </c>
      <c r="C25" s="46">
        <v>0</v>
      </c>
      <c r="D25" s="46">
        <v>100</v>
      </c>
      <c r="E25" s="46">
        <v>0</v>
      </c>
      <c r="F25" s="46">
        <v>0</v>
      </c>
      <c r="G25" s="46">
        <v>0</v>
      </c>
      <c r="H25" s="46">
        <v>200</v>
      </c>
      <c r="I25" s="46">
        <v>100</v>
      </c>
      <c r="J25" s="46">
        <v>800</v>
      </c>
      <c r="K25" s="46">
        <v>0</v>
      </c>
      <c r="L25" s="46">
        <v>0</v>
      </c>
      <c r="P25" s="68" t="s">
        <v>24</v>
      </c>
      <c r="Q25" s="74">
        <f>D44</f>
        <v>269800</v>
      </c>
      <c r="R25">
        <v>55000</v>
      </c>
      <c r="S25">
        <v>1200</v>
      </c>
      <c r="T25">
        <f>C28</f>
        <v>400</v>
      </c>
      <c r="U25">
        <v>24200</v>
      </c>
      <c r="V25">
        <v>300</v>
      </c>
      <c r="W25">
        <f>C34</f>
        <v>10300</v>
      </c>
      <c r="Y25" t="s">
        <v>83</v>
      </c>
      <c r="Z25">
        <f>R35</f>
        <v>482500</v>
      </c>
      <c r="AA25">
        <f>U35</f>
        <v>252600</v>
      </c>
      <c r="AB25" s="51">
        <f t="shared" ref="AB25:AC28" si="1">Z25/Z$28</f>
        <v>0.82380058050196348</v>
      </c>
      <c r="AC25" s="51">
        <f t="shared" si="1"/>
        <v>0.72440493260682537</v>
      </c>
    </row>
    <row r="26" spans="1:29" x14ac:dyDescent="0.3">
      <c r="B26" s="49" t="s">
        <v>16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300</v>
      </c>
      <c r="K26" s="46">
        <v>0</v>
      </c>
      <c r="L26" s="46">
        <v>0</v>
      </c>
      <c r="P26" s="68" t="s">
        <v>26</v>
      </c>
      <c r="Q26" s="74">
        <f>D45</f>
        <v>628208</v>
      </c>
      <c r="R26">
        <v>163200</v>
      </c>
      <c r="S26">
        <v>33700</v>
      </c>
      <c r="T26">
        <v>0</v>
      </c>
      <c r="U26">
        <v>89700</v>
      </c>
      <c r="V26">
        <v>21700</v>
      </c>
      <c r="W26">
        <v>0</v>
      </c>
      <c r="Y26" t="s">
        <v>84</v>
      </c>
      <c r="Z26">
        <f>S35</f>
        <v>87200</v>
      </c>
      <c r="AA26">
        <f>V35</f>
        <v>61000</v>
      </c>
      <c r="AB26" s="51">
        <f t="shared" si="1"/>
        <v>0.1488816800409766</v>
      </c>
      <c r="AC26" s="51">
        <f t="shared" si="1"/>
        <v>0.17493547462001721</v>
      </c>
    </row>
    <row r="27" spans="1:29" x14ac:dyDescent="0.3">
      <c r="A27" t="s">
        <v>46</v>
      </c>
      <c r="B27" s="44" t="s">
        <v>42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P27" s="68" t="s">
        <v>27</v>
      </c>
      <c r="Q27" s="74">
        <f t="shared" ref="Q27:Q34" si="2">D47</f>
        <v>137368</v>
      </c>
      <c r="R27">
        <v>30500</v>
      </c>
      <c r="S27">
        <v>3600</v>
      </c>
      <c r="T27">
        <v>0</v>
      </c>
      <c r="U27">
        <v>17100</v>
      </c>
      <c r="V27">
        <v>2600</v>
      </c>
      <c r="W27">
        <v>0</v>
      </c>
      <c r="Y27" t="s">
        <v>85</v>
      </c>
      <c r="Z27">
        <f>T35</f>
        <v>16000</v>
      </c>
      <c r="AA27">
        <f>W35</f>
        <v>35100</v>
      </c>
      <c r="AB27" s="51">
        <f t="shared" si="1"/>
        <v>2.7317739457059929E-2</v>
      </c>
      <c r="AC27" s="51">
        <f t="shared" si="1"/>
        <v>0.10065959277315745</v>
      </c>
    </row>
    <row r="28" spans="1:29" x14ac:dyDescent="0.3">
      <c r="B28" s="47" t="s">
        <v>10</v>
      </c>
      <c r="C28" s="46">
        <f>'Helsinki-Vantaa'!B37</f>
        <v>400</v>
      </c>
      <c r="D28" s="46">
        <v>-2</v>
      </c>
      <c r="E28" s="46">
        <v>0</v>
      </c>
      <c r="F28" s="46">
        <v>-2</v>
      </c>
      <c r="G28" s="46">
        <v>-2</v>
      </c>
      <c r="H28" s="46">
        <v>-2</v>
      </c>
      <c r="I28" s="46">
        <v>200</v>
      </c>
      <c r="J28" s="46">
        <v>-2</v>
      </c>
      <c r="K28" s="46">
        <v>300</v>
      </c>
      <c r="L28" s="46">
        <f>'Helsinki-Vantaa'!C37</f>
        <v>12600</v>
      </c>
      <c r="P28" s="68" t="s">
        <v>28</v>
      </c>
      <c r="Q28" s="74">
        <f t="shared" si="2"/>
        <v>9486</v>
      </c>
      <c r="R28">
        <v>2000</v>
      </c>
      <c r="S28">
        <v>300</v>
      </c>
      <c r="T28">
        <v>0</v>
      </c>
      <c r="U28">
        <v>800</v>
      </c>
      <c r="V28">
        <v>100</v>
      </c>
      <c r="W28">
        <v>0</v>
      </c>
      <c r="Y28" t="s">
        <v>53</v>
      </c>
      <c r="Z28">
        <f>SUM(Z25:Z27)</f>
        <v>585700</v>
      </c>
      <c r="AA28">
        <f>SUM(AA25:AA27)</f>
        <v>348700</v>
      </c>
      <c r="AB28" s="51">
        <f t="shared" si="1"/>
        <v>1</v>
      </c>
      <c r="AC28" s="51">
        <f t="shared" si="1"/>
        <v>1</v>
      </c>
    </row>
    <row r="29" spans="1:29" x14ac:dyDescent="0.3">
      <c r="B29" s="47" t="s">
        <v>11</v>
      </c>
      <c r="C29" s="46">
        <f>'Helsinki-Vantaa'!B38</f>
        <v>0</v>
      </c>
      <c r="D29" s="46">
        <v>-2</v>
      </c>
      <c r="E29" s="46">
        <v>0</v>
      </c>
      <c r="F29" s="46">
        <v>-2</v>
      </c>
      <c r="G29" s="46">
        <v>-2</v>
      </c>
      <c r="H29" s="46">
        <v>-2</v>
      </c>
      <c r="I29" s="46">
        <v>100</v>
      </c>
      <c r="J29" s="46">
        <v>-2</v>
      </c>
      <c r="K29" s="46">
        <v>200</v>
      </c>
      <c r="L29" s="46">
        <f>'Helsinki-Vantaa'!C38</f>
        <v>2200</v>
      </c>
      <c r="P29" s="68" t="s">
        <v>30</v>
      </c>
      <c r="Q29" s="74">
        <f t="shared" si="2"/>
        <v>112119</v>
      </c>
      <c r="R29">
        <v>32100</v>
      </c>
      <c r="S29">
        <v>900</v>
      </c>
      <c r="T29">
        <v>0</v>
      </c>
      <c r="U29">
        <v>17700</v>
      </c>
      <c r="V29">
        <v>800</v>
      </c>
      <c r="W29">
        <v>0</v>
      </c>
    </row>
    <row r="30" spans="1:29" x14ac:dyDescent="0.3">
      <c r="B30" s="47" t="s">
        <v>12</v>
      </c>
      <c r="C30" s="46">
        <f>'Helsinki-Vantaa'!B39</f>
        <v>0</v>
      </c>
      <c r="D30" s="46">
        <v>-2</v>
      </c>
      <c r="E30" s="46">
        <v>0</v>
      </c>
      <c r="F30" s="46">
        <v>-2</v>
      </c>
      <c r="G30" s="46">
        <v>-2</v>
      </c>
      <c r="H30" s="46">
        <v>-2</v>
      </c>
      <c r="I30" s="46">
        <v>0</v>
      </c>
      <c r="J30" s="46">
        <v>-2</v>
      </c>
      <c r="K30" s="46">
        <v>0</v>
      </c>
      <c r="L30" s="46">
        <f>'Helsinki-Vantaa'!C39</f>
        <v>0</v>
      </c>
      <c r="P30" s="68" t="s">
        <v>31</v>
      </c>
      <c r="Q30" s="74">
        <f t="shared" si="2"/>
        <v>103918</v>
      </c>
      <c r="R30">
        <v>22800</v>
      </c>
      <c r="S30">
        <v>10800</v>
      </c>
      <c r="T30">
        <v>0</v>
      </c>
      <c r="U30">
        <v>12200</v>
      </c>
      <c r="V30">
        <v>8500</v>
      </c>
      <c r="W30">
        <v>0</v>
      </c>
    </row>
    <row r="31" spans="1:29" x14ac:dyDescent="0.3">
      <c r="B31" s="47" t="s">
        <v>13</v>
      </c>
      <c r="C31" s="46">
        <f>'Helsinki-Vantaa'!B40</f>
        <v>0</v>
      </c>
      <c r="D31" s="46">
        <v>-2</v>
      </c>
      <c r="E31" s="46">
        <v>0</v>
      </c>
      <c r="F31" s="46">
        <v>-2</v>
      </c>
      <c r="G31" s="46">
        <v>-2</v>
      </c>
      <c r="H31" s="46">
        <v>-2</v>
      </c>
      <c r="I31" s="46">
        <v>0</v>
      </c>
      <c r="J31" s="46">
        <v>-2</v>
      </c>
      <c r="K31" s="46">
        <v>0</v>
      </c>
      <c r="L31" s="46">
        <f>'Helsinki-Vantaa'!C40</f>
        <v>0</v>
      </c>
      <c r="P31" s="68" t="s">
        <v>32</v>
      </c>
      <c r="Q31" s="74">
        <f t="shared" si="2"/>
        <v>198525</v>
      </c>
      <c r="R31">
        <v>37100</v>
      </c>
      <c r="S31">
        <v>17100</v>
      </c>
      <c r="T31">
        <v>300</v>
      </c>
      <c r="U31">
        <v>18400</v>
      </c>
      <c r="V31">
        <v>13100</v>
      </c>
      <c r="W31">
        <v>200</v>
      </c>
    </row>
    <row r="32" spans="1:29" x14ac:dyDescent="0.3">
      <c r="B32" s="47" t="s">
        <v>14</v>
      </c>
      <c r="C32" s="46">
        <f>'Helsinki-Vantaa'!B41</f>
        <v>0</v>
      </c>
      <c r="D32" s="46">
        <v>-2</v>
      </c>
      <c r="E32" s="46">
        <v>0</v>
      </c>
      <c r="F32" s="46">
        <v>-2</v>
      </c>
      <c r="G32" s="46">
        <v>-2</v>
      </c>
      <c r="H32" s="46">
        <v>-2</v>
      </c>
      <c r="I32" s="46">
        <v>0</v>
      </c>
      <c r="J32" s="46">
        <v>-2</v>
      </c>
      <c r="K32" s="46">
        <v>0</v>
      </c>
      <c r="L32" s="46">
        <f>'Helsinki-Vantaa'!C41</f>
        <v>0</v>
      </c>
      <c r="P32" s="68" t="s">
        <v>33</v>
      </c>
      <c r="Q32" s="74">
        <f t="shared" si="2"/>
        <v>225118</v>
      </c>
      <c r="R32">
        <v>35000</v>
      </c>
      <c r="S32">
        <v>11400</v>
      </c>
      <c r="T32">
        <v>0</v>
      </c>
      <c r="U32">
        <v>17500</v>
      </c>
      <c r="V32">
        <v>9500</v>
      </c>
      <c r="W32">
        <v>0</v>
      </c>
    </row>
    <row r="33" spans="2:23" x14ac:dyDescent="0.3">
      <c r="B33" s="48" t="s">
        <v>43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P33" s="68" t="s">
        <v>34</v>
      </c>
      <c r="Q33" s="74">
        <f t="shared" si="2"/>
        <v>185908</v>
      </c>
      <c r="R33">
        <v>50100</v>
      </c>
      <c r="S33">
        <v>1500</v>
      </c>
      <c r="T33">
        <v>500</v>
      </c>
      <c r="U33">
        <v>27500</v>
      </c>
      <c r="V33">
        <v>1000</v>
      </c>
      <c r="W33">
        <v>200</v>
      </c>
    </row>
    <row r="34" spans="2:23" x14ac:dyDescent="0.3">
      <c r="B34" s="49" t="s">
        <v>15</v>
      </c>
      <c r="C34" s="46">
        <f>'Helsinki-Vantaa'!B43</f>
        <v>10300</v>
      </c>
      <c r="D34" s="46">
        <v>-2</v>
      </c>
      <c r="E34" s="46">
        <v>0</v>
      </c>
      <c r="F34" s="46">
        <v>-2</v>
      </c>
      <c r="G34" s="46">
        <v>-2</v>
      </c>
      <c r="H34" s="46">
        <v>-2</v>
      </c>
      <c r="I34" s="46">
        <v>100</v>
      </c>
      <c r="J34" s="46">
        <v>-2</v>
      </c>
      <c r="K34" s="46">
        <v>200</v>
      </c>
      <c r="L34" s="46">
        <f>'Helsinki-Vantaa'!C43</f>
        <v>18600</v>
      </c>
      <c r="P34" s="68" t="s">
        <v>35</v>
      </c>
      <c r="Q34" s="74">
        <f t="shared" si="2"/>
        <v>214605</v>
      </c>
      <c r="R34">
        <v>54700</v>
      </c>
      <c r="S34">
        <v>6700</v>
      </c>
      <c r="T34">
        <f>L28+L29</f>
        <v>14800</v>
      </c>
      <c r="U34">
        <v>27500</v>
      </c>
      <c r="V34">
        <v>3400</v>
      </c>
      <c r="W34">
        <f>SUM(L34:L36)</f>
        <v>24400</v>
      </c>
    </row>
    <row r="35" spans="2:23" x14ac:dyDescent="0.3">
      <c r="B35" s="49" t="s">
        <v>10</v>
      </c>
      <c r="C35" s="46">
        <f>'Helsinki-Vantaa'!B44</f>
        <v>0</v>
      </c>
      <c r="D35" s="46">
        <v>-2</v>
      </c>
      <c r="E35" s="46">
        <v>0</v>
      </c>
      <c r="F35" s="46">
        <v>-2</v>
      </c>
      <c r="G35" s="46">
        <v>-2</v>
      </c>
      <c r="H35" s="46">
        <v>-2</v>
      </c>
      <c r="I35" s="46">
        <v>100</v>
      </c>
      <c r="J35" s="46">
        <v>-2</v>
      </c>
      <c r="K35" s="46">
        <v>0</v>
      </c>
      <c r="L35" s="46">
        <f>'Helsinki-Vantaa'!C44</f>
        <v>5500</v>
      </c>
      <c r="P35" s="69" t="s">
        <v>87</v>
      </c>
      <c r="R35">
        <f>SUM(R25:R34)</f>
        <v>482500</v>
      </c>
      <c r="S35">
        <f t="shared" ref="S35:W35" si="3">SUM(S25:S34)</f>
        <v>87200</v>
      </c>
      <c r="T35">
        <f t="shared" si="3"/>
        <v>16000</v>
      </c>
      <c r="U35">
        <f t="shared" si="3"/>
        <v>252600</v>
      </c>
      <c r="V35">
        <f t="shared" si="3"/>
        <v>61000</v>
      </c>
      <c r="W35">
        <f t="shared" si="3"/>
        <v>35100</v>
      </c>
    </row>
    <row r="36" spans="2:23" x14ac:dyDescent="0.3">
      <c r="B36" s="49" t="s">
        <v>11</v>
      </c>
      <c r="C36" s="46">
        <f>'Helsinki-Vantaa'!B45</f>
        <v>0</v>
      </c>
      <c r="D36" s="46">
        <v>-2</v>
      </c>
      <c r="E36" s="46">
        <v>0</v>
      </c>
      <c r="F36" s="46">
        <v>-2</v>
      </c>
      <c r="G36" s="46">
        <v>-2</v>
      </c>
      <c r="H36" s="46">
        <v>-2</v>
      </c>
      <c r="I36" s="46">
        <v>0</v>
      </c>
      <c r="J36" s="46">
        <v>-2</v>
      </c>
      <c r="K36" s="46">
        <v>0</v>
      </c>
      <c r="L36" s="46">
        <f>'Helsinki-Vantaa'!C45</f>
        <v>300</v>
      </c>
    </row>
    <row r="37" spans="2:23" x14ac:dyDescent="0.3">
      <c r="B37" s="49" t="s">
        <v>12</v>
      </c>
      <c r="C37" s="46">
        <f>'Helsinki-Vantaa'!B46</f>
        <v>0</v>
      </c>
      <c r="D37" s="46">
        <v>-2</v>
      </c>
      <c r="E37" s="46">
        <v>0</v>
      </c>
      <c r="F37" s="46">
        <v>-2</v>
      </c>
      <c r="G37" s="46">
        <v>-2</v>
      </c>
      <c r="H37" s="46">
        <v>-2</v>
      </c>
      <c r="I37" s="46">
        <v>0</v>
      </c>
      <c r="J37" s="46">
        <v>-2</v>
      </c>
      <c r="K37" s="46">
        <v>0</v>
      </c>
      <c r="L37" s="46">
        <f>'Helsinki-Vantaa'!C46</f>
        <v>0</v>
      </c>
    </row>
    <row r="38" spans="2:23" x14ac:dyDescent="0.3">
      <c r="B38" s="49" t="s">
        <v>16</v>
      </c>
      <c r="C38" s="46">
        <f>'Helsinki-Vantaa'!B47</f>
        <v>0</v>
      </c>
      <c r="D38" s="46">
        <v>-2</v>
      </c>
      <c r="E38" s="46">
        <v>0</v>
      </c>
      <c r="F38" s="46">
        <v>-2</v>
      </c>
      <c r="G38" s="46">
        <v>-2</v>
      </c>
      <c r="H38" s="46">
        <v>-2</v>
      </c>
      <c r="I38" s="46">
        <v>0</v>
      </c>
      <c r="J38" s="46">
        <v>-2</v>
      </c>
      <c r="K38" s="46">
        <v>0</v>
      </c>
      <c r="L38" s="46">
        <f>'Helsinki-Vantaa'!C47</f>
        <v>0</v>
      </c>
      <c r="P38" t="s">
        <v>86</v>
      </c>
      <c r="Q38" t="s">
        <v>92</v>
      </c>
      <c r="R38" t="s">
        <v>83</v>
      </c>
      <c r="S38" t="s">
        <v>84</v>
      </c>
      <c r="T38" t="s">
        <v>85</v>
      </c>
      <c r="U38" t="s">
        <v>83</v>
      </c>
      <c r="V38" t="s">
        <v>84</v>
      </c>
      <c r="W38" t="s">
        <v>85</v>
      </c>
    </row>
    <row r="39" spans="2:23" x14ac:dyDescent="0.3">
      <c r="P39" s="68" t="s">
        <v>24</v>
      </c>
      <c r="Q39" s="74">
        <v>269800</v>
      </c>
      <c r="R39" s="51">
        <f t="shared" ref="R39:W48" si="4">R25/$Q25</f>
        <v>0.20385470719051149</v>
      </c>
      <c r="S39" s="55">
        <f t="shared" si="4"/>
        <v>4.447739065974796E-3</v>
      </c>
      <c r="T39" s="53">
        <f t="shared" si="4"/>
        <v>1.4825796886582653E-3</v>
      </c>
      <c r="U39" s="51">
        <f t="shared" si="4"/>
        <v>8.9696071163825053E-2</v>
      </c>
      <c r="V39" s="53">
        <f t="shared" si="4"/>
        <v>1.111934766493699E-3</v>
      </c>
      <c r="W39" s="53">
        <f t="shared" si="4"/>
        <v>3.8176426982950332E-2</v>
      </c>
    </row>
    <row r="40" spans="2:23" x14ac:dyDescent="0.3">
      <c r="P40" s="68" t="s">
        <v>26</v>
      </c>
      <c r="Q40" s="74">
        <v>628208</v>
      </c>
      <c r="R40" s="51">
        <f t="shared" si="4"/>
        <v>0.25978656750630363</v>
      </c>
      <c r="S40" s="55">
        <f t="shared" si="4"/>
        <v>5.3644652726485498E-2</v>
      </c>
      <c r="T40" s="51">
        <f t="shared" si="4"/>
        <v>0</v>
      </c>
      <c r="U40" s="51">
        <f t="shared" si="4"/>
        <v>0.14278710236100145</v>
      </c>
      <c r="V40" s="53">
        <f t="shared" si="4"/>
        <v>3.4542699233374934E-2</v>
      </c>
      <c r="W40" s="53">
        <f t="shared" si="4"/>
        <v>0</v>
      </c>
    </row>
    <row r="41" spans="2:23" x14ac:dyDescent="0.3">
      <c r="P41" s="68" t="s">
        <v>27</v>
      </c>
      <c r="Q41" s="74">
        <v>137368</v>
      </c>
      <c r="R41" s="51">
        <f t="shared" si="4"/>
        <v>0.22203133189680274</v>
      </c>
      <c r="S41" s="55">
        <f t="shared" si="4"/>
        <v>2.6206976879622621E-2</v>
      </c>
      <c r="T41" s="51">
        <f t="shared" si="4"/>
        <v>0</v>
      </c>
      <c r="U41" s="51">
        <f t="shared" si="4"/>
        <v>0.12448314017820744</v>
      </c>
      <c r="V41" s="53">
        <f t="shared" si="4"/>
        <v>1.8927261079727448E-2</v>
      </c>
      <c r="W41" s="53">
        <f t="shared" si="4"/>
        <v>0</v>
      </c>
    </row>
    <row r="42" spans="2:23" x14ac:dyDescent="0.3">
      <c r="C42" s="71"/>
      <c r="D42" t="s">
        <v>92</v>
      </c>
      <c r="P42" s="68" t="s">
        <v>28</v>
      </c>
      <c r="Q42" s="74">
        <v>9486</v>
      </c>
      <c r="R42" s="51">
        <f t="shared" si="4"/>
        <v>0.21083702298123549</v>
      </c>
      <c r="S42" s="55">
        <f t="shared" si="4"/>
        <v>3.1625553447185324E-2</v>
      </c>
      <c r="T42" s="51">
        <f t="shared" si="4"/>
        <v>0</v>
      </c>
      <c r="U42" s="51">
        <f t="shared" si="4"/>
        <v>8.4334809192494198E-2</v>
      </c>
      <c r="V42" s="53">
        <f t="shared" si="4"/>
        <v>1.0541851149061775E-2</v>
      </c>
      <c r="W42" s="53">
        <f t="shared" si="4"/>
        <v>0</v>
      </c>
    </row>
    <row r="43" spans="2:23" x14ac:dyDescent="0.3">
      <c r="C43" s="72" t="s">
        <v>71</v>
      </c>
      <c r="D43" s="73">
        <v>5487308</v>
      </c>
      <c r="P43" s="68" t="s">
        <v>30</v>
      </c>
      <c r="Q43" s="74">
        <v>112119</v>
      </c>
      <c r="R43" s="51">
        <f t="shared" si="4"/>
        <v>0.28630294597704226</v>
      </c>
      <c r="S43" s="55">
        <f t="shared" si="4"/>
        <v>8.0271854012254843E-3</v>
      </c>
      <c r="T43" s="51">
        <f t="shared" si="4"/>
        <v>0</v>
      </c>
      <c r="U43" s="51">
        <f t="shared" si="4"/>
        <v>0.15786797955743451</v>
      </c>
      <c r="V43" s="53">
        <f t="shared" si="4"/>
        <v>7.1352759122004297E-3</v>
      </c>
      <c r="W43" s="53">
        <f t="shared" si="4"/>
        <v>0</v>
      </c>
    </row>
    <row r="44" spans="2:23" x14ac:dyDescent="0.3">
      <c r="C44" s="72" t="s">
        <v>24</v>
      </c>
      <c r="D44" s="73">
        <v>269800</v>
      </c>
      <c r="P44" s="68" t="s">
        <v>31</v>
      </c>
      <c r="Q44" s="74">
        <v>103918</v>
      </c>
      <c r="R44" s="51">
        <f t="shared" si="4"/>
        <v>0.21940376065744144</v>
      </c>
      <c r="S44" s="55">
        <f t="shared" si="4"/>
        <v>0.1039280971535249</v>
      </c>
      <c r="T44" s="51">
        <f t="shared" si="4"/>
        <v>0</v>
      </c>
      <c r="U44" s="51">
        <f t="shared" si="4"/>
        <v>0.11740025789564849</v>
      </c>
      <c r="V44" s="53">
        <f t="shared" si="4"/>
        <v>8.1795261648607551E-2</v>
      </c>
      <c r="W44" s="53">
        <f t="shared" si="4"/>
        <v>0</v>
      </c>
    </row>
    <row r="45" spans="2:23" x14ac:dyDescent="0.3">
      <c r="C45" s="72" t="s">
        <v>26</v>
      </c>
      <c r="D45" s="73">
        <v>628208</v>
      </c>
      <c r="P45" s="68" t="s">
        <v>32</v>
      </c>
      <c r="Q45" s="74">
        <v>198525</v>
      </c>
      <c r="R45" s="51">
        <f t="shared" si="4"/>
        <v>0.18687822692356126</v>
      </c>
      <c r="S45" s="55">
        <f t="shared" si="4"/>
        <v>8.6135247449943331E-2</v>
      </c>
      <c r="T45" s="53">
        <f t="shared" si="4"/>
        <v>1.5111446921042689E-3</v>
      </c>
      <c r="U45" s="51">
        <f t="shared" si="4"/>
        <v>9.2683541115728504E-2</v>
      </c>
      <c r="V45" s="53">
        <f t="shared" si="4"/>
        <v>6.5986651555219752E-2</v>
      </c>
      <c r="W45" s="53">
        <f t="shared" si="4"/>
        <v>1.0074297947361792E-3</v>
      </c>
    </row>
    <row r="46" spans="2:23" x14ac:dyDescent="0.3">
      <c r="C46" s="72" t="s">
        <v>72</v>
      </c>
      <c r="D46" s="73">
        <v>75514</v>
      </c>
      <c r="P46" s="68" t="s">
        <v>33</v>
      </c>
      <c r="Q46" s="74">
        <v>225118</v>
      </c>
      <c r="R46" s="51">
        <f t="shared" si="4"/>
        <v>0.15547401807052302</v>
      </c>
      <c r="S46" s="55">
        <f t="shared" si="4"/>
        <v>5.0640108742970355E-2</v>
      </c>
      <c r="T46" s="51">
        <f t="shared" si="4"/>
        <v>0</v>
      </c>
      <c r="U46" s="51">
        <f t="shared" si="4"/>
        <v>7.7737009035261512E-2</v>
      </c>
      <c r="V46" s="53">
        <f t="shared" si="4"/>
        <v>4.2200090619141963E-2</v>
      </c>
      <c r="W46" s="53">
        <f t="shared" si="4"/>
        <v>0</v>
      </c>
    </row>
    <row r="47" spans="2:23" x14ac:dyDescent="0.3">
      <c r="C47" s="72" t="s">
        <v>73</v>
      </c>
      <c r="D47" s="73">
        <v>137368</v>
      </c>
      <c r="P47" s="68" t="s">
        <v>34</v>
      </c>
      <c r="Q47" s="74">
        <v>185908</v>
      </c>
      <c r="R47" s="51">
        <f t="shared" si="4"/>
        <v>0.26948813391570026</v>
      </c>
      <c r="S47" s="55">
        <f t="shared" si="4"/>
        <v>8.0685070034640788E-3</v>
      </c>
      <c r="T47" s="53">
        <f t="shared" si="4"/>
        <v>2.6895023344880266E-3</v>
      </c>
      <c r="U47" s="51">
        <f t="shared" si="4"/>
        <v>0.14792262839684145</v>
      </c>
      <c r="V47" s="53">
        <f t="shared" si="4"/>
        <v>5.3790046689760531E-3</v>
      </c>
      <c r="W47" s="53">
        <f t="shared" si="4"/>
        <v>1.0758009337952104E-3</v>
      </c>
    </row>
    <row r="48" spans="2:23" x14ac:dyDescent="0.3">
      <c r="C48" s="72" t="s">
        <v>28</v>
      </c>
      <c r="D48" s="73">
        <v>9486</v>
      </c>
      <c r="P48" s="68" t="s">
        <v>35</v>
      </c>
      <c r="Q48" s="74">
        <v>214605</v>
      </c>
      <c r="R48" s="51">
        <f t="shared" si="4"/>
        <v>0.25488688520770719</v>
      </c>
      <c r="S48" s="55">
        <f t="shared" si="4"/>
        <v>3.1220148645185339E-2</v>
      </c>
      <c r="T48" s="85">
        <f t="shared" si="4"/>
        <v>6.8963910440110895E-2</v>
      </c>
      <c r="U48" s="51">
        <f t="shared" si="4"/>
        <v>0.12814240115561149</v>
      </c>
      <c r="V48" s="53">
        <f t="shared" si="4"/>
        <v>1.5843060506511963E-2</v>
      </c>
      <c r="W48" s="53">
        <f t="shared" si="4"/>
        <v>0.11369725775261527</v>
      </c>
    </row>
    <row r="49" spans="3:16" x14ac:dyDescent="0.3">
      <c r="C49" s="72" t="s">
        <v>30</v>
      </c>
      <c r="D49" s="73">
        <v>112119</v>
      </c>
      <c r="P49" s="69" t="s">
        <v>87</v>
      </c>
    </row>
    <row r="50" spans="3:16" x14ac:dyDescent="0.3">
      <c r="C50" s="72" t="s">
        <v>31</v>
      </c>
      <c r="D50" s="73">
        <v>103918</v>
      </c>
    </row>
    <row r="51" spans="3:16" x14ac:dyDescent="0.3">
      <c r="C51" s="72" t="s">
        <v>32</v>
      </c>
      <c r="D51" s="73">
        <v>198525</v>
      </c>
    </row>
    <row r="52" spans="3:16" x14ac:dyDescent="0.3">
      <c r="C52" s="72" t="s">
        <v>33</v>
      </c>
      <c r="D52" s="73">
        <v>225118</v>
      </c>
    </row>
    <row r="53" spans="3:16" x14ac:dyDescent="0.3">
      <c r="C53" s="72" t="s">
        <v>34</v>
      </c>
      <c r="D53" s="73">
        <v>185908</v>
      </c>
    </row>
    <row r="54" spans="3:16" x14ac:dyDescent="0.3">
      <c r="C54" s="72" t="s">
        <v>35</v>
      </c>
      <c r="D54" s="73">
        <v>214605</v>
      </c>
    </row>
    <row r="55" spans="3:16" x14ac:dyDescent="0.3">
      <c r="C55" s="72"/>
      <c r="D55" s="73"/>
    </row>
    <row r="56" spans="3:16" x14ac:dyDescent="0.3">
      <c r="C56" s="72"/>
      <c r="D56" s="73"/>
    </row>
    <row r="57" spans="3:16" x14ac:dyDescent="0.3">
      <c r="C57" s="72"/>
      <c r="D57" s="73"/>
    </row>
    <row r="58" spans="3:16" x14ac:dyDescent="0.3">
      <c r="C58" s="72"/>
      <c r="D58" s="73"/>
    </row>
    <row r="59" spans="3:16" x14ac:dyDescent="0.3">
      <c r="C59" s="72"/>
      <c r="D59" s="73"/>
    </row>
    <row r="60" spans="3:16" x14ac:dyDescent="0.3">
      <c r="C60" s="72"/>
      <c r="D60" s="73"/>
    </row>
    <row r="61" spans="3:16" x14ac:dyDescent="0.3">
      <c r="C61" s="72"/>
      <c r="D61" s="73"/>
    </row>
    <row r="62" spans="3:16" x14ac:dyDescent="0.3">
      <c r="C62" s="72"/>
      <c r="D62" s="73"/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zoomScale="80" zoomScaleNormal="80" workbookViewId="0">
      <selection activeCell="H39" sqref="H39"/>
    </sheetView>
  </sheetViews>
  <sheetFormatPr defaultRowHeight="14.4" x14ac:dyDescent="0.3"/>
  <sheetData>
    <row r="1" spans="1:25" x14ac:dyDescent="0.3">
      <c r="B1" s="61" t="s">
        <v>54</v>
      </c>
      <c r="H1" t="s">
        <v>155</v>
      </c>
    </row>
    <row r="2" spans="1:25" x14ac:dyDescent="0.3">
      <c r="G2" t="s">
        <v>44</v>
      </c>
      <c r="H2" t="s">
        <v>50</v>
      </c>
    </row>
    <row r="3" spans="1:25" x14ac:dyDescent="0.3">
      <c r="C3" t="s">
        <v>49</v>
      </c>
      <c r="G3" t="s">
        <v>45</v>
      </c>
      <c r="H3" t="s">
        <v>51</v>
      </c>
    </row>
    <row r="4" spans="1:25" x14ac:dyDescent="0.3">
      <c r="B4" t="s">
        <v>61</v>
      </c>
      <c r="C4" t="s">
        <v>44</v>
      </c>
      <c r="D4" t="s">
        <v>45</v>
      </c>
      <c r="E4" t="s">
        <v>46</v>
      </c>
      <c r="G4" t="s">
        <v>46</v>
      </c>
      <c r="H4" t="s">
        <v>52</v>
      </c>
    </row>
    <row r="5" spans="1:25" x14ac:dyDescent="0.3">
      <c r="B5">
        <v>57</v>
      </c>
      <c r="C5" s="53">
        <f xml:space="preserve"> (9.868*10^-4 *($B5-42)^3-1.436*10^-2*($B5-42)^2+0.5118*($B5-42))/100</f>
        <v>7.77645E-2</v>
      </c>
      <c r="D5" s="53">
        <f>(7.239*10^-4*($B5-42)^3-7.851*10^-3*($B5-42)^2+0.1695*($B5-42))/100</f>
        <v>3.2191875000000002E-2</v>
      </c>
      <c r="E5" s="51">
        <f>((-9.199)*10^-5*($B5-42)^3+3.932*10^-2*($B5-42)^2+0.2939*($B5-42))/100</f>
        <v>0.12945033750000001</v>
      </c>
    </row>
    <row r="6" spans="1:25" x14ac:dyDescent="0.3">
      <c r="B6">
        <v>62</v>
      </c>
      <c r="C6" s="53">
        <f t="shared" ref="C6:C9" si="0" xml:space="preserve"> (9.868*10^-4 *($B6-42)^3-1.436*10^-2*($B6-42)^2+0.5118*($B6-42))/100</f>
        <v>0.12386400000000002</v>
      </c>
      <c r="D6" s="53">
        <f t="shared" ref="D6:D9" si="1">(7.239*10^-4*($B6-42)^3-7.851*10^-3*($B6-42)^2+0.1695*($B6-42))/100</f>
        <v>6.0407999999999996E-2</v>
      </c>
      <c r="E6" s="51">
        <f t="shared" ref="E6:E7" si="2">((-9.199)*10^-5*($B6-42)^3+3.932*10^-2*($B6-42)^2+0.2939*($B6-42))/100</f>
        <v>0.20870080000000002</v>
      </c>
      <c r="G6" t="s">
        <v>199</v>
      </c>
      <c r="H6">
        <v>0.02</v>
      </c>
      <c r="J6" t="s">
        <v>201</v>
      </c>
    </row>
    <row r="7" spans="1:25" x14ac:dyDescent="0.3">
      <c r="B7">
        <v>67</v>
      </c>
      <c r="C7" s="53">
        <f t="shared" si="0"/>
        <v>0.19238750000000004</v>
      </c>
      <c r="D7" s="53">
        <f t="shared" si="1"/>
        <v>0.10641562499999999</v>
      </c>
      <c r="E7" s="51">
        <f t="shared" si="2"/>
        <v>0.30485156250000001</v>
      </c>
      <c r="G7" t="s">
        <v>200</v>
      </c>
      <c r="H7">
        <v>1</v>
      </c>
    </row>
    <row r="8" spans="1:25" x14ac:dyDescent="0.3">
      <c r="B8">
        <v>72</v>
      </c>
      <c r="C8" s="53">
        <f t="shared" si="0"/>
        <v>0.29073600000000005</v>
      </c>
      <c r="D8" s="53">
        <f t="shared" si="1"/>
        <v>0.17564400000000002</v>
      </c>
      <c r="E8" s="51">
        <f>((-9.199)*10^-5*($B8-42)^3+3.932*10^-2*($B8-42)^2+0.2939*($B8-42))/100</f>
        <v>0.41721269999999999</v>
      </c>
    </row>
    <row r="9" spans="1:25" x14ac:dyDescent="0.3">
      <c r="B9">
        <v>77.5</v>
      </c>
      <c r="C9" s="53">
        <f t="shared" si="0"/>
        <v>0.44220031850000013</v>
      </c>
      <c r="D9" s="53">
        <f t="shared" si="1"/>
        <v>0.28509498862499993</v>
      </c>
      <c r="E9" s="51">
        <f>((-9.199)*10^-5*($B9-42)^3+3.932*10^-2*($B9-42)^2+0.2939*($B9-42))/100</f>
        <v>0.55870950888750004</v>
      </c>
    </row>
    <row r="11" spans="1:25" x14ac:dyDescent="0.3">
      <c r="B11" s="91" t="s">
        <v>177</v>
      </c>
      <c r="K11" s="50"/>
      <c r="L11" s="50"/>
      <c r="N11" s="61" t="s">
        <v>178</v>
      </c>
    </row>
    <row r="12" spans="1:25" x14ac:dyDescent="0.3">
      <c r="A12" t="s">
        <v>44</v>
      </c>
      <c r="B12" s="44" t="s">
        <v>42</v>
      </c>
      <c r="C12" s="46" t="s">
        <v>24</v>
      </c>
      <c r="D12" s="46" t="s">
        <v>26</v>
      </c>
      <c r="E12" s="46" t="s">
        <v>27</v>
      </c>
      <c r="F12" s="46" t="s">
        <v>28</v>
      </c>
      <c r="G12" s="46" t="s">
        <v>30</v>
      </c>
      <c r="H12" s="46" t="s">
        <v>31</v>
      </c>
      <c r="I12" s="46" t="s">
        <v>32</v>
      </c>
      <c r="J12" s="46" t="s">
        <v>33</v>
      </c>
      <c r="K12" s="46" t="s">
        <v>34</v>
      </c>
      <c r="L12" s="46" t="s">
        <v>35</v>
      </c>
      <c r="O12" s="46" t="s">
        <v>24</v>
      </c>
      <c r="P12" s="46" t="s">
        <v>26</v>
      </c>
      <c r="Q12" s="46" t="s">
        <v>27</v>
      </c>
      <c r="R12" s="46" t="s">
        <v>28</v>
      </c>
      <c r="S12" s="46" t="s">
        <v>30</v>
      </c>
      <c r="T12" s="46" t="s">
        <v>31</v>
      </c>
      <c r="U12" s="46" t="s">
        <v>32</v>
      </c>
      <c r="V12" s="46" t="s">
        <v>33</v>
      </c>
      <c r="W12" s="46" t="s">
        <v>34</v>
      </c>
      <c r="X12" s="46" t="s">
        <v>35</v>
      </c>
      <c r="Y12" s="50" t="s">
        <v>53</v>
      </c>
    </row>
    <row r="13" spans="1:25" x14ac:dyDescent="0.3">
      <c r="B13" s="47" t="s">
        <v>10</v>
      </c>
      <c r="C13" s="52">
        <f>$C5*Altistus!C4</f>
        <v>2776.19265</v>
      </c>
      <c r="D13" s="52">
        <f>$C5*Altistus!D4</f>
        <v>6672.1940999999997</v>
      </c>
      <c r="E13" s="52">
        <f>$C5*Altistus!E4</f>
        <v>1345.3258499999999</v>
      </c>
      <c r="F13" s="52">
        <f>$C5*Altistus!F4</f>
        <v>108.8703</v>
      </c>
      <c r="G13" s="52">
        <f>$C5*Altistus!G4</f>
        <v>1368.6551999999999</v>
      </c>
      <c r="H13" s="52">
        <f>$C5*Altistus!H4</f>
        <v>1042.0443</v>
      </c>
      <c r="I13" s="52">
        <f>$C5*Altistus!I4</f>
        <v>1889.6773499999999</v>
      </c>
      <c r="J13" s="52">
        <f>$C5*Altistus!J4</f>
        <v>1485.30195</v>
      </c>
      <c r="K13" s="52">
        <f>$C5*Altistus!K4</f>
        <v>1905.2302500000001</v>
      </c>
      <c r="L13" s="52">
        <f>$C5*Altistus!L4</f>
        <v>2776.19265</v>
      </c>
      <c r="N13" t="s">
        <v>44</v>
      </c>
      <c r="O13" s="52">
        <f t="shared" ref="O13:X13" si="3">SUM(C13:C17)</f>
        <v>5419.4174500000008</v>
      </c>
      <c r="P13" s="52">
        <f t="shared" si="3"/>
        <v>18920.284131850003</v>
      </c>
      <c r="Q13" s="52">
        <f t="shared" si="3"/>
        <v>3311.3386000000005</v>
      </c>
      <c r="R13" s="52">
        <f t="shared" si="3"/>
        <v>183.18870000000001</v>
      </c>
      <c r="S13" s="52">
        <f t="shared" si="3"/>
        <v>3471.2642500000006</v>
      </c>
      <c r="T13" s="52">
        <f t="shared" si="3"/>
        <v>2555.2688500000004</v>
      </c>
      <c r="U13" s="52">
        <f t="shared" si="3"/>
        <v>3782.2719818500004</v>
      </c>
      <c r="V13" s="52">
        <f t="shared" si="3"/>
        <v>3786.6348500000004</v>
      </c>
      <c r="W13" s="52">
        <f t="shared" si="3"/>
        <v>6030.7944500000003</v>
      </c>
      <c r="X13" s="52">
        <f t="shared" si="3"/>
        <v>5398.9454500000011</v>
      </c>
      <c r="Y13" s="52">
        <f>SUM(O13:X13)</f>
        <v>52859.408713700002</v>
      </c>
    </row>
    <row r="14" spans="1:25" x14ac:dyDescent="0.3">
      <c r="B14" s="47" t="s">
        <v>11</v>
      </c>
      <c r="C14" s="52">
        <f>$C6*Altistus!C5</f>
        <v>1969.4376000000002</v>
      </c>
      <c r="D14" s="52">
        <f>$C6*Altistus!D5</f>
        <v>6279.9048000000012</v>
      </c>
      <c r="E14" s="52">
        <f>$C6*Altistus!E5</f>
        <v>1090.0032000000001</v>
      </c>
      <c r="F14" s="52">
        <f>$C6*Altistus!F5</f>
        <v>74.318400000000011</v>
      </c>
      <c r="G14" s="52">
        <f>$C6*Altistus!G5</f>
        <v>1312.9584000000002</v>
      </c>
      <c r="H14" s="52">
        <f>$C6*Altistus!H5</f>
        <v>693.63840000000005</v>
      </c>
      <c r="I14" s="52">
        <f>$C6*Altistus!I5</f>
        <v>1164.3216000000002</v>
      </c>
      <c r="J14" s="52">
        <f>$C6*Altistus!J5</f>
        <v>1387.2768000000001</v>
      </c>
      <c r="K14" s="52">
        <f>$C6*Altistus!K5</f>
        <v>1907.5056000000002</v>
      </c>
      <c r="L14" s="52">
        <f>$C6*Altistus!L5</f>
        <v>1919.8920000000003</v>
      </c>
      <c r="N14" t="s">
        <v>45</v>
      </c>
      <c r="O14" s="52">
        <f t="shared" ref="O14:X14" si="4">SUM(C19:C23)</f>
        <v>41.451862499999997</v>
      </c>
      <c r="P14" s="52">
        <f t="shared" si="4"/>
        <v>1960.5782249999997</v>
      </c>
      <c r="Q14" s="52">
        <f t="shared" si="4"/>
        <v>168.15315000000001</v>
      </c>
      <c r="R14" s="52">
        <f t="shared" si="4"/>
        <v>12.479175000000001</v>
      </c>
      <c r="S14" s="52">
        <f t="shared" si="4"/>
        <v>34.6159125</v>
      </c>
      <c r="T14" s="52">
        <f t="shared" si="4"/>
        <v>514.48443750000001</v>
      </c>
      <c r="U14" s="52">
        <f t="shared" si="4"/>
        <v>842.80556250000006</v>
      </c>
      <c r="V14" s="52">
        <f t="shared" si="4"/>
        <v>852.32056931250008</v>
      </c>
      <c r="W14" s="52">
        <f t="shared" si="4"/>
        <v>56.752650000000003</v>
      </c>
      <c r="X14" s="52">
        <f t="shared" si="4"/>
        <v>317.93167499999998</v>
      </c>
      <c r="Y14" s="52">
        <f t="shared" ref="Y14:Y16" si="5">SUM(O14:X14)</f>
        <v>4801.5732193125004</v>
      </c>
    </row>
    <row r="15" spans="1:25" x14ac:dyDescent="0.3">
      <c r="B15" s="47" t="s">
        <v>12</v>
      </c>
      <c r="C15" s="52">
        <f>$C7*Altistus!C6</f>
        <v>615.6400000000001</v>
      </c>
      <c r="D15" s="52">
        <f>$C7*Altistus!D6</f>
        <v>3539.9300000000007</v>
      </c>
      <c r="E15" s="52">
        <f>$C7*Altistus!E6</f>
        <v>788.78875000000016</v>
      </c>
      <c r="F15" s="52">
        <f>$C7*Altistus!F6</f>
        <v>0</v>
      </c>
      <c r="G15" s="52">
        <f>$C7*Altistus!G6</f>
        <v>673.35625000000016</v>
      </c>
      <c r="H15" s="52">
        <f>$C7*Altistus!H6</f>
        <v>557.92375000000015</v>
      </c>
      <c r="I15" s="52">
        <f>$C7*Altistus!I6</f>
        <v>538.68500000000017</v>
      </c>
      <c r="J15" s="52">
        <f>$C7*Altistus!J6</f>
        <v>884.98250000000019</v>
      </c>
      <c r="K15" s="52">
        <f>$C7*Altistus!K6</f>
        <v>1462.1450000000004</v>
      </c>
      <c r="L15" s="52">
        <f>$C7*Altistus!L6</f>
        <v>615.6400000000001</v>
      </c>
      <c r="N15" t="s">
        <v>46</v>
      </c>
      <c r="O15" s="52">
        <f t="shared" ref="O15:X15" si="6">SUM(C25:C29)</f>
        <v>51.780135000000001</v>
      </c>
      <c r="P15" s="52">
        <f t="shared" si="6"/>
        <v>0</v>
      </c>
      <c r="Q15" s="52">
        <f t="shared" si="6"/>
        <v>0</v>
      </c>
      <c r="R15" s="52">
        <f t="shared" si="6"/>
        <v>0</v>
      </c>
      <c r="S15" s="52">
        <f t="shared" si="6"/>
        <v>0</v>
      </c>
      <c r="T15" s="52">
        <f t="shared" si="6"/>
        <v>0</v>
      </c>
      <c r="U15" s="52">
        <f t="shared" si="6"/>
        <v>46.760147500000002</v>
      </c>
      <c r="V15" s="52">
        <f t="shared" si="6"/>
        <v>0</v>
      </c>
      <c r="W15" s="52">
        <f t="shared" si="6"/>
        <v>80.575261250000011</v>
      </c>
      <c r="X15" s="52">
        <f t="shared" si="6"/>
        <v>2090.2160125</v>
      </c>
      <c r="Y15" s="52">
        <f>SUM(O15:X15)</f>
        <v>2269.3315562500002</v>
      </c>
    </row>
    <row r="16" spans="1:25" x14ac:dyDescent="0.3">
      <c r="B16" s="47" t="s">
        <v>13</v>
      </c>
      <c r="C16" s="52">
        <f>$C8*Altistus!C7</f>
        <v>58.147200000000012</v>
      </c>
      <c r="D16" s="52">
        <f>$C8*Altistus!D7</f>
        <v>2384.0352000000003</v>
      </c>
      <c r="E16" s="52">
        <f>$C8*Altistus!E7</f>
        <v>87.220800000000011</v>
      </c>
      <c r="F16" s="52">
        <f>$C8*Altistus!F7</f>
        <v>0</v>
      </c>
      <c r="G16" s="52">
        <f>$C8*Altistus!G7</f>
        <v>116.29440000000002</v>
      </c>
      <c r="H16" s="52">
        <f>$C8*Altistus!H7</f>
        <v>261.66240000000005</v>
      </c>
      <c r="I16" s="52">
        <f>$C8*Altistus!I7</f>
        <v>145.36800000000002</v>
      </c>
      <c r="J16" s="52">
        <f>$C8*Altistus!J7</f>
        <v>29.073600000000006</v>
      </c>
      <c r="K16" s="52">
        <f>$C8*Altistus!K7</f>
        <v>755.91360000000009</v>
      </c>
      <c r="L16" s="52">
        <f>$C8*Altistus!L7</f>
        <v>87.220800000000011</v>
      </c>
      <c r="N16" t="s">
        <v>53</v>
      </c>
      <c r="O16" s="52">
        <f>SUM(O13:O15)</f>
        <v>5512.6494475000009</v>
      </c>
      <c r="P16" s="52">
        <f t="shared" ref="P16:X16" si="7">SUM(P13:P15)</f>
        <v>20880.862356850004</v>
      </c>
      <c r="Q16" s="52">
        <f t="shared" si="7"/>
        <v>3479.4917500000006</v>
      </c>
      <c r="R16" s="52">
        <f t="shared" si="7"/>
        <v>195.66787500000001</v>
      </c>
      <c r="S16" s="52">
        <f t="shared" si="7"/>
        <v>3505.8801625000006</v>
      </c>
      <c r="T16" s="52">
        <f t="shared" si="7"/>
        <v>3069.7532875000006</v>
      </c>
      <c r="U16" s="52">
        <f t="shared" si="7"/>
        <v>4671.8376918500007</v>
      </c>
      <c r="V16" s="52">
        <f t="shared" si="7"/>
        <v>4638.9554193125005</v>
      </c>
      <c r="W16" s="52">
        <f t="shared" si="7"/>
        <v>6168.1223612500007</v>
      </c>
      <c r="X16" s="52">
        <f t="shared" si="7"/>
        <v>7807.0931375000009</v>
      </c>
      <c r="Y16" s="52">
        <f t="shared" si="5"/>
        <v>59930.313489262509</v>
      </c>
    </row>
    <row r="17" spans="1:25" x14ac:dyDescent="0.3">
      <c r="B17" s="47" t="s">
        <v>14</v>
      </c>
      <c r="C17" s="52">
        <f>$C9*Altistus!C8</f>
        <v>0</v>
      </c>
      <c r="D17" s="52">
        <f>$C9*Altistus!D8</f>
        <v>44.220031850000012</v>
      </c>
      <c r="E17" s="52">
        <f>$C9*Altistus!E8</f>
        <v>0</v>
      </c>
      <c r="F17" s="52">
        <f>$C9*Altistus!F8</f>
        <v>0</v>
      </c>
      <c r="G17" s="52">
        <f>$C9*Altistus!G8</f>
        <v>0</v>
      </c>
      <c r="H17" s="52">
        <f>$C9*Altistus!H8</f>
        <v>0</v>
      </c>
      <c r="I17" s="52">
        <f>$C9*Altistus!I8</f>
        <v>44.220031850000012</v>
      </c>
      <c r="J17" s="52">
        <f>$C9*Altistus!J8</f>
        <v>0</v>
      </c>
      <c r="K17" s="52">
        <f>$C9*Altistus!K8</f>
        <v>0</v>
      </c>
      <c r="L17" s="52">
        <f>$C9*Altistus!L8</f>
        <v>0</v>
      </c>
    </row>
    <row r="18" spans="1:25" x14ac:dyDescent="0.3">
      <c r="A18" t="s">
        <v>45</v>
      </c>
      <c r="B18" s="44" t="s">
        <v>42</v>
      </c>
      <c r="N18" s="61" t="s">
        <v>179</v>
      </c>
    </row>
    <row r="19" spans="1:25" x14ac:dyDescent="0.3">
      <c r="B19" s="47" t="s">
        <v>10</v>
      </c>
      <c r="C19" s="52">
        <f>$D5*Altistus!C16</f>
        <v>35.4110625</v>
      </c>
      <c r="D19" s="52">
        <f>$D5*Altistus!D16</f>
        <v>508.63162500000004</v>
      </c>
      <c r="E19" s="52">
        <f>$D5*Altistus!E16</f>
        <v>77.260500000000008</v>
      </c>
      <c r="F19" s="52">
        <f>$D5*Altistus!F16</f>
        <v>6.4383750000000006</v>
      </c>
      <c r="G19" s="52">
        <f>$D5*Altistus!G16</f>
        <v>22.534312500000002</v>
      </c>
      <c r="H19" s="52">
        <f>$D5*Altistus!H16</f>
        <v>241.43906250000001</v>
      </c>
      <c r="I19" s="52">
        <f>$D5*Altistus!I16</f>
        <v>350.89143749999999</v>
      </c>
      <c r="J19" s="52">
        <f>$D5*Altistus!J16</f>
        <v>167.39775</v>
      </c>
      <c r="K19" s="52">
        <f>$D5*Altistus!K16</f>
        <v>38.630250000000004</v>
      </c>
      <c r="L19" s="52">
        <f>$D5*Altistus!L16</f>
        <v>138.4250625</v>
      </c>
      <c r="O19" s="46" t="s">
        <v>24</v>
      </c>
      <c r="P19" s="46" t="s">
        <v>26</v>
      </c>
      <c r="Q19" s="46" t="s">
        <v>27</v>
      </c>
      <c r="R19" s="46" t="s">
        <v>28</v>
      </c>
      <c r="S19" s="46" t="s">
        <v>30</v>
      </c>
      <c r="T19" s="46" t="s">
        <v>31</v>
      </c>
      <c r="U19" s="46" t="s">
        <v>32</v>
      </c>
      <c r="V19" s="46" t="s">
        <v>33</v>
      </c>
      <c r="W19" s="46" t="s">
        <v>34</v>
      </c>
      <c r="X19" s="46" t="s">
        <v>35</v>
      </c>
      <c r="Y19" s="50" t="s">
        <v>53</v>
      </c>
    </row>
    <row r="20" spans="1:25" x14ac:dyDescent="0.3">
      <c r="B20" s="47" t="s">
        <v>11</v>
      </c>
      <c r="C20" s="52">
        <f>$D6*Altistus!C17</f>
        <v>6.0407999999999999</v>
      </c>
      <c r="D20" s="52">
        <f>$D6*Altistus!D17</f>
        <v>712.81439999999998</v>
      </c>
      <c r="E20" s="52">
        <f>$D6*Altistus!E17</f>
        <v>48.3264</v>
      </c>
      <c r="F20" s="52">
        <f>$D6*Altistus!F17</f>
        <v>6.0407999999999999</v>
      </c>
      <c r="G20" s="52">
        <f>$D6*Altistus!G17</f>
        <v>12.0816</v>
      </c>
      <c r="H20" s="52">
        <f>$D6*Altistus!H17</f>
        <v>138.9384</v>
      </c>
      <c r="I20" s="52">
        <f>$D6*Altistus!I17</f>
        <v>247.6728</v>
      </c>
      <c r="J20" s="52">
        <f>$D6*Altistus!J17</f>
        <v>175.1832</v>
      </c>
      <c r="K20" s="52">
        <f>$D6*Altistus!K17</f>
        <v>18.122399999999999</v>
      </c>
      <c r="L20" s="52">
        <f>$D6*Altistus!L17</f>
        <v>108.73439999999999</v>
      </c>
      <c r="N20" t="s">
        <v>44</v>
      </c>
      <c r="O20" s="52">
        <f>O13*$H$6*$H$7</f>
        <v>108.38834900000002</v>
      </c>
      <c r="P20" s="52">
        <f t="shared" ref="P20:W20" si="8">P13*$H$6*$H$7</f>
        <v>378.4056826370001</v>
      </c>
      <c r="Q20" s="52">
        <f t="shared" si="8"/>
        <v>66.226772000000011</v>
      </c>
      <c r="R20" s="52">
        <f t="shared" si="8"/>
        <v>3.6637740000000001</v>
      </c>
      <c r="S20" s="52">
        <f t="shared" si="8"/>
        <v>69.425285000000017</v>
      </c>
      <c r="T20" s="52">
        <f t="shared" si="8"/>
        <v>51.105377000000011</v>
      </c>
      <c r="U20" s="52">
        <f t="shared" si="8"/>
        <v>75.64543963700001</v>
      </c>
      <c r="V20" s="52">
        <f t="shared" si="8"/>
        <v>75.732697000000016</v>
      </c>
      <c r="W20" s="52">
        <f t="shared" si="8"/>
        <v>120.61588900000001</v>
      </c>
      <c r="X20" s="52">
        <f>X13*$H$6*$H$7</f>
        <v>107.97890900000003</v>
      </c>
      <c r="Y20" s="52">
        <f>SUM(O20:X20)</f>
        <v>1057.1881742740002</v>
      </c>
    </row>
    <row r="21" spans="1:25" x14ac:dyDescent="0.3">
      <c r="B21" s="47" t="s">
        <v>12</v>
      </c>
      <c r="C21" s="52">
        <f>$D7*Altistus!C18</f>
        <v>0</v>
      </c>
      <c r="D21" s="52">
        <f>$D7*Altistus!D18</f>
        <v>510.79499999999996</v>
      </c>
      <c r="E21" s="52">
        <f>$D7*Altistus!E18</f>
        <v>42.566249999999997</v>
      </c>
      <c r="F21" s="52">
        <f>$D7*Altistus!F18</f>
        <v>0</v>
      </c>
      <c r="G21" s="52">
        <f>$D7*Altistus!G18</f>
        <v>0</v>
      </c>
      <c r="H21" s="52">
        <f>$D7*Altistus!H18</f>
        <v>63.849374999999995</v>
      </c>
      <c r="I21" s="52">
        <f>$D7*Altistus!I18</f>
        <v>191.54812499999997</v>
      </c>
      <c r="J21" s="52">
        <f>$D7*Altistus!J18</f>
        <v>191.54812499999997</v>
      </c>
      <c r="K21" s="52">
        <f>$D7*Altistus!K18</f>
        <v>0</v>
      </c>
      <c r="L21" s="52">
        <f>$D7*Altistus!L18</f>
        <v>53.207812499999996</v>
      </c>
      <c r="N21" t="s">
        <v>45</v>
      </c>
      <c r="O21" s="52">
        <f t="shared" ref="O21:X21" si="9">O14*$H$6*$H$7</f>
        <v>0.82903724999999995</v>
      </c>
      <c r="P21" s="52">
        <f t="shared" si="9"/>
        <v>39.211564499999994</v>
      </c>
      <c r="Q21" s="52">
        <f t="shared" si="9"/>
        <v>3.3630630000000004</v>
      </c>
      <c r="R21" s="52">
        <f t="shared" si="9"/>
        <v>0.24958350000000004</v>
      </c>
      <c r="S21" s="52">
        <f t="shared" si="9"/>
        <v>0.69231825000000002</v>
      </c>
      <c r="T21" s="52">
        <f t="shared" si="9"/>
        <v>10.28968875</v>
      </c>
      <c r="U21" s="52">
        <f t="shared" si="9"/>
        <v>16.856111250000001</v>
      </c>
      <c r="V21" s="52">
        <f t="shared" si="9"/>
        <v>17.046411386250004</v>
      </c>
      <c r="W21" s="52">
        <f t="shared" si="9"/>
        <v>1.1350530000000001</v>
      </c>
      <c r="X21" s="52">
        <f t="shared" si="9"/>
        <v>6.3586334999999998</v>
      </c>
      <c r="Y21" s="52">
        <f t="shared" ref="Y21:Y23" si="10">SUM(O21:X21)</f>
        <v>96.031464386249979</v>
      </c>
    </row>
    <row r="22" spans="1:25" x14ac:dyDescent="0.3">
      <c r="B22" s="47" t="s">
        <v>13</v>
      </c>
      <c r="C22" s="52">
        <f>$D8*Altistus!C19</f>
        <v>0</v>
      </c>
      <c r="D22" s="52">
        <f>$D8*Altistus!D19</f>
        <v>228.33720000000002</v>
      </c>
      <c r="E22" s="52">
        <f>$D8*Altistus!E19</f>
        <v>0</v>
      </c>
      <c r="F22" s="52">
        <f>$D8*Altistus!F19</f>
        <v>0</v>
      </c>
      <c r="G22" s="52">
        <f>$D8*Altistus!G19</f>
        <v>0</v>
      </c>
      <c r="H22" s="52">
        <f>$D8*Altistus!H19</f>
        <v>70.257600000000011</v>
      </c>
      <c r="I22" s="52">
        <f>$D8*Altistus!I19</f>
        <v>52.693200000000004</v>
      </c>
      <c r="J22" s="52">
        <f>$D8*Altistus!J19</f>
        <v>175.64400000000003</v>
      </c>
      <c r="K22" s="52">
        <f>$D8*Altistus!K19</f>
        <v>0</v>
      </c>
      <c r="L22" s="52">
        <f>$D8*Altistus!L19</f>
        <v>17.564400000000003</v>
      </c>
      <c r="N22" t="s">
        <v>46</v>
      </c>
      <c r="O22" s="52">
        <f t="shared" ref="O22:X22" si="11">O15*$H$6*$H$7</f>
        <v>1.0356027000000001</v>
      </c>
      <c r="P22" s="52">
        <f t="shared" si="11"/>
        <v>0</v>
      </c>
      <c r="Q22" s="52">
        <f t="shared" si="11"/>
        <v>0</v>
      </c>
      <c r="R22" s="52">
        <f t="shared" si="11"/>
        <v>0</v>
      </c>
      <c r="S22" s="52">
        <f t="shared" si="11"/>
        <v>0</v>
      </c>
      <c r="T22" s="52">
        <f t="shared" si="11"/>
        <v>0</v>
      </c>
      <c r="U22" s="52">
        <f t="shared" si="11"/>
        <v>0.93520295000000009</v>
      </c>
      <c r="V22" s="52">
        <f t="shared" si="11"/>
        <v>0</v>
      </c>
      <c r="W22" s="52">
        <f t="shared" si="11"/>
        <v>1.6115052250000002</v>
      </c>
      <c r="X22" s="52">
        <f t="shared" si="11"/>
        <v>41.804320250000004</v>
      </c>
      <c r="Y22" s="52">
        <f t="shared" si="10"/>
        <v>45.386631125000001</v>
      </c>
    </row>
    <row r="23" spans="1:25" x14ac:dyDescent="0.3">
      <c r="B23" s="47" t="s">
        <v>14</v>
      </c>
      <c r="C23" s="52">
        <f>$D9*Altistus!C20</f>
        <v>0</v>
      </c>
      <c r="D23" s="52">
        <f>$D9*Altistus!D20</f>
        <v>0</v>
      </c>
      <c r="E23" s="52">
        <f>$D9*Altistus!E20</f>
        <v>0</v>
      </c>
      <c r="F23" s="52">
        <f>$D9*Altistus!F20</f>
        <v>0</v>
      </c>
      <c r="G23" s="52">
        <f>$D9*Altistus!G20</f>
        <v>0</v>
      </c>
      <c r="H23" s="52">
        <f>$D9*Altistus!H20</f>
        <v>0</v>
      </c>
      <c r="I23" s="52">
        <f>$D9*Altistus!I20</f>
        <v>0</v>
      </c>
      <c r="J23" s="52">
        <f>$D9*Altistus!J20</f>
        <v>142.54749431249996</v>
      </c>
      <c r="K23" s="52">
        <f>$D9*Altistus!K20</f>
        <v>0</v>
      </c>
      <c r="L23" s="52">
        <f>$D9*Altistus!L20</f>
        <v>0</v>
      </c>
      <c r="N23" t="s">
        <v>53</v>
      </c>
      <c r="O23" s="52">
        <f t="shared" ref="O23:X23" si="12">O16*$H$6*$H$7</f>
        <v>110.25298895000002</v>
      </c>
      <c r="P23" s="52">
        <f t="shared" si="12"/>
        <v>417.61724713700011</v>
      </c>
      <c r="Q23" s="52">
        <f t="shared" si="12"/>
        <v>69.589835000000008</v>
      </c>
      <c r="R23" s="52">
        <f t="shared" si="12"/>
        <v>3.9133575000000005</v>
      </c>
      <c r="S23" s="52">
        <f t="shared" si="12"/>
        <v>70.117603250000016</v>
      </c>
      <c r="T23" s="52">
        <f t="shared" si="12"/>
        <v>61.395065750000015</v>
      </c>
      <c r="U23" s="52">
        <f t="shared" si="12"/>
        <v>93.436753837000012</v>
      </c>
      <c r="V23" s="52">
        <f t="shared" si="12"/>
        <v>92.779108386250016</v>
      </c>
      <c r="W23" s="52">
        <f t="shared" si="12"/>
        <v>123.36244722500001</v>
      </c>
      <c r="X23" s="52">
        <f t="shared" si="12"/>
        <v>156.14186275000003</v>
      </c>
      <c r="Y23" s="52">
        <f t="shared" si="10"/>
        <v>1198.6062697852501</v>
      </c>
    </row>
    <row r="24" spans="1:25" x14ac:dyDescent="0.3">
      <c r="A24" t="s">
        <v>46</v>
      </c>
      <c r="B24" s="44" t="s">
        <v>42</v>
      </c>
    </row>
    <row r="25" spans="1:25" x14ac:dyDescent="0.3">
      <c r="B25" s="47" t="s">
        <v>10</v>
      </c>
      <c r="C25" s="52">
        <f>IF(Altistus!C28&gt;0,$E5*Altistus!C28,".")</f>
        <v>51.780135000000001</v>
      </c>
      <c r="D25" s="52" t="str">
        <f>IF(Altistus!D28&gt;0,$E5*Altistus!D28,".")</f>
        <v>.</v>
      </c>
      <c r="E25" s="52" t="str">
        <f>IF(Altistus!E28&gt;0,$E5*Altistus!E28,".")</f>
        <v>.</v>
      </c>
      <c r="F25" s="52" t="str">
        <f>IF(Altistus!F28&gt;0,$E5*Altistus!F28,".")</f>
        <v>.</v>
      </c>
      <c r="G25" s="52" t="str">
        <f>IF(Altistus!G28&gt;0,$E5*Altistus!G28,".")</f>
        <v>.</v>
      </c>
      <c r="H25" s="52" t="str">
        <f>IF(Altistus!H28&gt;0,$E5*Altistus!H28,".")</f>
        <v>.</v>
      </c>
      <c r="I25" s="52">
        <f>IF(Altistus!I28&gt;0,$E5*Altistus!I28,".")</f>
        <v>25.890067500000001</v>
      </c>
      <c r="J25" s="52" t="str">
        <f>IF(Altistus!J28&gt;0,$E5*Altistus!J28,".")</f>
        <v>.</v>
      </c>
      <c r="K25" s="52">
        <f>IF(Altistus!K28&gt;0,$E5*Altistus!K28,".")</f>
        <v>38.835101250000001</v>
      </c>
      <c r="L25" s="52">
        <f>IF(Altistus!L28&gt;0,$E5*Altistus!L28,".")</f>
        <v>1631.0742525000001</v>
      </c>
    </row>
    <row r="26" spans="1:25" x14ac:dyDescent="0.3">
      <c r="B26" s="47" t="s">
        <v>11</v>
      </c>
      <c r="C26" s="52" t="str">
        <f>IF(Altistus!C29&gt;0,$E6*Altistus!C29,".")</f>
        <v>.</v>
      </c>
      <c r="D26" s="52" t="str">
        <f>IF(Altistus!D29&gt;0,$E6*Altistus!D29,".")</f>
        <v>.</v>
      </c>
      <c r="E26" s="52" t="str">
        <f>IF(Altistus!E29&gt;0,$E6*Altistus!E29,".")</f>
        <v>.</v>
      </c>
      <c r="F26" s="52" t="str">
        <f>IF(Altistus!F29&gt;0,$E6*Altistus!F29,".")</f>
        <v>.</v>
      </c>
      <c r="G26" s="52" t="str">
        <f>IF(Altistus!G29&gt;0,$E6*Altistus!G29,".")</f>
        <v>.</v>
      </c>
      <c r="H26" s="52" t="str">
        <f>IF(Altistus!H29&gt;0,$E6*Altistus!H29,".")</f>
        <v>.</v>
      </c>
      <c r="I26" s="52">
        <f>IF(Altistus!I29&gt;0,$E6*Altistus!I29,".")</f>
        <v>20.870080000000002</v>
      </c>
      <c r="J26" s="52" t="str">
        <f>IF(Altistus!J29&gt;0,$E6*Altistus!J29,".")</f>
        <v>.</v>
      </c>
      <c r="K26" s="52">
        <f>IF(Altistus!K29&gt;0,$E6*Altistus!K29,".")</f>
        <v>41.740160000000003</v>
      </c>
      <c r="L26" s="52">
        <f>IF(Altistus!L29&gt;0,$E6*Altistus!L29,".")</f>
        <v>459.14176000000003</v>
      </c>
    </row>
    <row r="27" spans="1:25" x14ac:dyDescent="0.3">
      <c r="B27" s="47" t="s">
        <v>12</v>
      </c>
      <c r="C27" s="52" t="str">
        <f>IF(Altistus!C30&gt;0,$E7*Altistus!C30,".")</f>
        <v>.</v>
      </c>
      <c r="D27" s="52" t="str">
        <f>IF(Altistus!D30&gt;0,$E7*Altistus!D30,".")</f>
        <v>.</v>
      </c>
      <c r="E27" s="52" t="str">
        <f>IF(Altistus!E30&gt;0,$E7*Altistus!E30,".")</f>
        <v>.</v>
      </c>
      <c r="F27" s="52" t="str">
        <f>IF(Altistus!F30&gt;0,$E7*Altistus!F30,".")</f>
        <v>.</v>
      </c>
      <c r="G27" s="52" t="str">
        <f>IF(Altistus!G30&gt;0,$E7*Altistus!G30,".")</f>
        <v>.</v>
      </c>
      <c r="H27" s="52" t="str">
        <f>IF(Altistus!H30&gt;0,$E7*Altistus!H30,".")</f>
        <v>.</v>
      </c>
      <c r="I27" s="52" t="str">
        <f>IF(Altistus!I30&gt;0,$E7*Altistus!I30,".")</f>
        <v>.</v>
      </c>
      <c r="J27" s="52" t="str">
        <f>IF(Altistus!J30&gt;0,$E7*Altistus!J30,".")</f>
        <v>.</v>
      </c>
      <c r="K27" s="52" t="str">
        <f>IF(Altistus!K30&gt;0,$E7*Altistus!K30,".")</f>
        <v>.</v>
      </c>
      <c r="L27" s="52" t="str">
        <f>IF(Altistus!L30&gt;0,$E7*Altistus!L30,".")</f>
        <v>.</v>
      </c>
    </row>
    <row r="28" spans="1:25" x14ac:dyDescent="0.3">
      <c r="B28" s="47" t="s">
        <v>13</v>
      </c>
      <c r="C28" s="52" t="str">
        <f>IF(Altistus!C31&gt;0,$E8*Altistus!C31,".")</f>
        <v>.</v>
      </c>
      <c r="D28" s="52" t="str">
        <f>IF(Altistus!D31&gt;0,$E8*Altistus!D31,".")</f>
        <v>.</v>
      </c>
      <c r="E28" s="52" t="str">
        <f>IF(Altistus!E31&gt;0,$E8*Altistus!E31,".")</f>
        <v>.</v>
      </c>
      <c r="F28" s="52" t="str">
        <f>IF(Altistus!F31&gt;0,$E8*Altistus!F31,".")</f>
        <v>.</v>
      </c>
      <c r="G28" s="52" t="str">
        <f>IF(Altistus!G31&gt;0,$E8*Altistus!G31,".")</f>
        <v>.</v>
      </c>
      <c r="H28" s="52" t="str">
        <f>IF(Altistus!H31&gt;0,$E8*Altistus!H31,".")</f>
        <v>.</v>
      </c>
      <c r="I28" s="52" t="str">
        <f>IF(Altistus!I31&gt;0,$E8*Altistus!I31,".")</f>
        <v>.</v>
      </c>
      <c r="J28" s="52" t="str">
        <f>IF(Altistus!J31&gt;0,$E8*Altistus!J31,".")</f>
        <v>.</v>
      </c>
      <c r="K28" s="52" t="str">
        <f>IF(Altistus!K31&gt;0,$E8*Altistus!K31,".")</f>
        <v>.</v>
      </c>
      <c r="L28" s="52" t="str">
        <f>IF(Altistus!L31&gt;0,$E8*Altistus!L31,".")</f>
        <v>.</v>
      </c>
    </row>
    <row r="29" spans="1:25" x14ac:dyDescent="0.3">
      <c r="B29" s="47" t="s">
        <v>14</v>
      </c>
      <c r="C29" s="52" t="str">
        <f>IF(Altistus!C32&gt;0,$E9*Altistus!C32,".")</f>
        <v>.</v>
      </c>
      <c r="D29" s="52" t="str">
        <f>IF(Altistus!D32&gt;0,$E9*Altistus!D32,".")</f>
        <v>.</v>
      </c>
      <c r="E29" s="52" t="str">
        <f>IF(Altistus!E32&gt;0,$E9*Altistus!E32,".")</f>
        <v>.</v>
      </c>
      <c r="F29" s="52" t="str">
        <f>IF(Altistus!F32&gt;0,$E9*Altistus!F32,".")</f>
        <v>.</v>
      </c>
      <c r="G29" s="52" t="str">
        <f>IF(Altistus!G32&gt;0,$E9*Altistus!G32,".")</f>
        <v>.</v>
      </c>
      <c r="H29" s="52" t="str">
        <f>IF(Altistus!H32&gt;0,$E9*Altistus!H32,".")</f>
        <v>.</v>
      </c>
      <c r="I29" s="52" t="str">
        <f>IF(Altistus!I32&gt;0,$E9*Altistus!I32,".")</f>
        <v>.</v>
      </c>
      <c r="J29" s="52" t="str">
        <f>IF(Altistus!J32&gt;0,$E9*Altistus!J32,".")</f>
        <v>.</v>
      </c>
      <c r="K29" s="52" t="str">
        <f>IF(Altistus!K32&gt;0,$E9*Altistus!K32,".")</f>
        <v>.</v>
      </c>
      <c r="L29" s="52" t="str">
        <f>IF(Altistus!L32&gt;0,$E9*Altistus!L32,".")</f>
        <v>.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zoomScale="80" zoomScaleNormal="80" workbookViewId="0">
      <selection activeCell="J8" sqref="J8"/>
    </sheetView>
  </sheetViews>
  <sheetFormatPr defaultRowHeight="14.4" x14ac:dyDescent="0.3"/>
  <sheetData>
    <row r="1" spans="1:25" x14ac:dyDescent="0.3">
      <c r="B1" s="61" t="s">
        <v>55</v>
      </c>
      <c r="H1" t="s">
        <v>155</v>
      </c>
    </row>
    <row r="2" spans="1:25" x14ac:dyDescent="0.3">
      <c r="G2" t="s">
        <v>44</v>
      </c>
      <c r="H2" t="s">
        <v>56</v>
      </c>
    </row>
    <row r="3" spans="1:25" x14ac:dyDescent="0.3">
      <c r="C3" t="s">
        <v>60</v>
      </c>
      <c r="G3" t="s">
        <v>45</v>
      </c>
      <c r="H3" t="s">
        <v>57</v>
      </c>
    </row>
    <row r="4" spans="1:25" x14ac:dyDescent="0.3">
      <c r="B4" t="s">
        <v>48</v>
      </c>
      <c r="C4" t="s">
        <v>44</v>
      </c>
      <c r="D4" t="s">
        <v>45</v>
      </c>
      <c r="E4" t="s">
        <v>46</v>
      </c>
      <c r="G4" t="s">
        <v>46</v>
      </c>
      <c r="H4" t="s">
        <v>58</v>
      </c>
    </row>
    <row r="5" spans="1:25" x14ac:dyDescent="0.3">
      <c r="B5">
        <v>52</v>
      </c>
      <c r="C5" s="53">
        <f xml:space="preserve"> (20.8 - 1.05 * B5 +  0.01486 * B5^2)/100</f>
        <v>6.3814400000000049E-2</v>
      </c>
      <c r="D5" s="53">
        <f>(11.3-0.55*B5+0.00759*B5^2)/100</f>
        <v>3.2233599999999994E-2</v>
      </c>
      <c r="E5" s="53">
        <f>(18.147-0.956*B5+0.01482*B5^2)/100</f>
        <v>8.5082799999999986E-2</v>
      </c>
    </row>
    <row r="6" spans="1:25" x14ac:dyDescent="0.3">
      <c r="B6">
        <v>57</v>
      </c>
      <c r="C6" s="53">
        <f t="shared" ref="C6:C9" si="0" xml:space="preserve"> (20.8 - 1.05 * B6 +  0.01486 * B6^2)/100</f>
        <v>9.2301400000000061E-2</v>
      </c>
      <c r="D6" s="53">
        <f t="shared" ref="D6:D9" si="1">(11.3-0.55*B6+0.00759*B6^2)/100</f>
        <v>4.609909999999999E-2</v>
      </c>
      <c r="E6" s="53">
        <f t="shared" ref="E6:E9" si="2">(18.147-0.956*B6+0.01482*B6^2)/100</f>
        <v>0.1180518</v>
      </c>
      <c r="G6" t="s">
        <v>199</v>
      </c>
      <c r="H6">
        <v>7.0000000000000007E-2</v>
      </c>
      <c r="J6" t="s">
        <v>202</v>
      </c>
    </row>
    <row r="7" spans="1:25" x14ac:dyDescent="0.3">
      <c r="B7">
        <v>62</v>
      </c>
      <c r="C7" s="53">
        <f t="shared" si="0"/>
        <v>0.12821839999999987</v>
      </c>
      <c r="D7" s="53">
        <f>(11.3-0.55*B7+0.00759*B7^2)/100</f>
        <v>6.3759599999999986E-2</v>
      </c>
      <c r="E7" s="53">
        <f t="shared" si="2"/>
        <v>0.15843080000000001</v>
      </c>
      <c r="G7" t="s">
        <v>200</v>
      </c>
      <c r="H7">
        <v>1</v>
      </c>
    </row>
    <row r="8" spans="1:25" x14ac:dyDescent="0.3">
      <c r="B8">
        <v>67</v>
      </c>
      <c r="C8" s="53">
        <f t="shared" si="0"/>
        <v>0.17156539999999992</v>
      </c>
      <c r="D8" s="53">
        <f t="shared" si="1"/>
        <v>8.521510000000003E-2</v>
      </c>
      <c r="E8" s="53">
        <f t="shared" si="2"/>
        <v>0.20621980000000001</v>
      </c>
    </row>
    <row r="9" spans="1:25" x14ac:dyDescent="0.3">
      <c r="B9">
        <v>72</v>
      </c>
      <c r="C9" s="53">
        <f t="shared" si="0"/>
        <v>0.22234239999999986</v>
      </c>
      <c r="D9" s="53">
        <f t="shared" si="1"/>
        <v>0.11046560000000002</v>
      </c>
      <c r="E9" s="53">
        <f t="shared" si="2"/>
        <v>0.26141880000000006</v>
      </c>
    </row>
    <row r="11" spans="1:25" x14ac:dyDescent="0.3">
      <c r="B11" s="91" t="s">
        <v>180</v>
      </c>
      <c r="N11" s="61" t="s">
        <v>181</v>
      </c>
    </row>
    <row r="12" spans="1:25" x14ac:dyDescent="0.3">
      <c r="A12" t="s">
        <v>44</v>
      </c>
      <c r="B12" s="48" t="s">
        <v>43</v>
      </c>
      <c r="C12" s="46" t="s">
        <v>24</v>
      </c>
      <c r="D12" s="46" t="s">
        <v>26</v>
      </c>
      <c r="E12" s="46" t="s">
        <v>27</v>
      </c>
      <c r="F12" s="46" t="s">
        <v>28</v>
      </c>
      <c r="G12" s="46" t="s">
        <v>30</v>
      </c>
      <c r="H12" s="46" t="s">
        <v>31</v>
      </c>
      <c r="I12" s="46" t="s">
        <v>32</v>
      </c>
      <c r="J12" s="46" t="s">
        <v>33</v>
      </c>
      <c r="K12" s="46" t="s">
        <v>34</v>
      </c>
      <c r="L12" s="46" t="s">
        <v>35</v>
      </c>
      <c r="O12" s="46" t="s">
        <v>24</v>
      </c>
      <c r="P12" s="46" t="s">
        <v>26</v>
      </c>
      <c r="Q12" s="46" t="s">
        <v>27</v>
      </c>
      <c r="R12" s="46" t="s">
        <v>28</v>
      </c>
      <c r="S12" s="46" t="s">
        <v>30</v>
      </c>
      <c r="T12" s="46" t="s">
        <v>31</v>
      </c>
      <c r="U12" s="46" t="s">
        <v>32</v>
      </c>
      <c r="V12" s="46" t="s">
        <v>33</v>
      </c>
      <c r="W12" s="46" t="s">
        <v>34</v>
      </c>
      <c r="X12" s="46" t="s">
        <v>35</v>
      </c>
      <c r="Y12" s="50" t="s">
        <v>53</v>
      </c>
    </row>
    <row r="13" spans="1:25" x14ac:dyDescent="0.3">
      <c r="B13" s="49" t="s">
        <v>93</v>
      </c>
      <c r="C13" s="52">
        <f>$C5*Altistus!C10</f>
        <v>1218.8550400000008</v>
      </c>
      <c r="D13" s="52">
        <f>$C5*Altistus!D10</f>
        <v>3784.1939200000029</v>
      </c>
      <c r="E13" s="52">
        <f>$C5*Altistus!E10</f>
        <v>714.72128000000055</v>
      </c>
      <c r="F13" s="52">
        <f>$C5*Altistus!F10</f>
        <v>44.670080000000034</v>
      </c>
      <c r="G13" s="52">
        <f>$C5*Altistus!G10</f>
        <v>797.68000000000063</v>
      </c>
      <c r="H13" s="52">
        <f>$C5*Altistus!H10</f>
        <v>504.13376000000039</v>
      </c>
      <c r="I13" s="52">
        <f>$C5*Altistus!I10</f>
        <v>835.96864000000062</v>
      </c>
      <c r="J13" s="52">
        <f>$C5*Altistus!J10</f>
        <v>759.39136000000053</v>
      </c>
      <c r="K13" s="52">
        <f>$C5*Altistus!K10</f>
        <v>1072.0819200000008</v>
      </c>
      <c r="L13" s="52">
        <f>$C5*Altistus!L10</f>
        <v>1346.483840000001</v>
      </c>
      <c r="N13" t="s">
        <v>44</v>
      </c>
      <c r="O13" s="52">
        <f t="shared" ref="O13:X13" si="3">SUM(C13:C17)</f>
        <v>1700.3672800000011</v>
      </c>
      <c r="P13" s="52">
        <f t="shared" si="3"/>
        <v>6966.6652800000029</v>
      </c>
      <c r="Q13" s="52">
        <f t="shared" si="3"/>
        <v>1291.6248400000006</v>
      </c>
      <c r="R13" s="52">
        <f t="shared" si="3"/>
        <v>53.90022000000004</v>
      </c>
      <c r="S13" s="52">
        <f t="shared" si="3"/>
        <v>1302.7891800000009</v>
      </c>
      <c r="T13" s="52">
        <f t="shared" si="3"/>
        <v>936.94678000000044</v>
      </c>
      <c r="U13" s="52">
        <f t="shared" si="3"/>
        <v>1361.8260600000006</v>
      </c>
      <c r="V13" s="52">
        <f t="shared" si="3"/>
        <v>1283.4626000000007</v>
      </c>
      <c r="W13" s="52">
        <f t="shared" si="3"/>
        <v>2160.2745000000009</v>
      </c>
      <c r="X13" s="52">
        <f t="shared" si="3"/>
        <v>1963.0977000000012</v>
      </c>
      <c r="Y13" s="52">
        <f>SUM(O13:X13)</f>
        <v>19020.954440000009</v>
      </c>
    </row>
    <row r="14" spans="1:25" x14ac:dyDescent="0.3">
      <c r="B14" s="49" t="s">
        <v>10</v>
      </c>
      <c r="C14" s="52">
        <f>$C6*Altistus!C11</f>
        <v>443.04672000000028</v>
      </c>
      <c r="D14" s="52">
        <f>$C6*Altistus!D11</f>
        <v>1882.9485600000012</v>
      </c>
      <c r="E14" s="52">
        <f>$C6*Altistus!E11</f>
        <v>461.50700000000029</v>
      </c>
      <c r="F14" s="52">
        <f>$C6*Altistus!F11</f>
        <v>9.2301400000000058</v>
      </c>
      <c r="G14" s="52">
        <f>$C6*Altistus!G11</f>
        <v>415.35630000000026</v>
      </c>
      <c r="H14" s="52">
        <f>$C6*Altistus!H11</f>
        <v>304.59462000000019</v>
      </c>
      <c r="I14" s="52">
        <f>$C6*Altistus!I11</f>
        <v>406.12616000000025</v>
      </c>
      <c r="J14" s="52">
        <f>$C6*Altistus!J11</f>
        <v>498.42756000000031</v>
      </c>
      <c r="K14" s="52">
        <f>$C6*Altistus!K11</f>
        <v>729.18106000000046</v>
      </c>
      <c r="L14" s="52">
        <f>$C6*Altistus!L11</f>
        <v>535.34812000000034</v>
      </c>
      <c r="N14" t="s">
        <v>45</v>
      </c>
      <c r="O14" s="52">
        <f>SUM(C19:C23)</f>
        <v>9.6700799999999987</v>
      </c>
      <c r="P14" s="52">
        <f>SUM(D19:D23)</f>
        <v>848.86671999999999</v>
      </c>
      <c r="Q14" s="52">
        <f t="shared" ref="Q14:X14" si="4">SUM(E19:E23)</f>
        <v>99.818409999999986</v>
      </c>
      <c r="R14" s="52">
        <f t="shared" si="4"/>
        <v>3.2233599999999996</v>
      </c>
      <c r="S14" s="52">
        <f t="shared" si="4"/>
        <v>27.173429999999996</v>
      </c>
      <c r="T14" s="52">
        <f t="shared" si="4"/>
        <v>325.6823</v>
      </c>
      <c r="U14" s="52">
        <f t="shared" si="4"/>
        <v>512.53220999999985</v>
      </c>
      <c r="V14" s="52">
        <f t="shared" si="4"/>
        <v>452.64019999999994</v>
      </c>
      <c r="W14" s="52">
        <f t="shared" si="4"/>
        <v>33.620149999999995</v>
      </c>
      <c r="X14" s="52">
        <f t="shared" si="4"/>
        <v>123.83923999999998</v>
      </c>
      <c r="Y14" s="52">
        <f t="shared" ref="Y14:Y16" si="5">SUM(O14:X14)</f>
        <v>2437.0660999999996</v>
      </c>
    </row>
    <row r="15" spans="1:25" x14ac:dyDescent="0.3">
      <c r="B15" s="49" t="s">
        <v>11</v>
      </c>
      <c r="C15" s="52">
        <f>$C7*Altistus!C12</f>
        <v>38.465519999999962</v>
      </c>
      <c r="D15" s="52">
        <f>$C7*Altistus!D12</f>
        <v>1230.8966399999988</v>
      </c>
      <c r="E15" s="52">
        <f>$C7*Altistus!E12</f>
        <v>115.39655999999988</v>
      </c>
      <c r="F15" s="52">
        <f>$C7*Altistus!F12</f>
        <v>0</v>
      </c>
      <c r="G15" s="52">
        <f>$C7*Altistus!G12</f>
        <v>89.752879999999905</v>
      </c>
      <c r="H15" s="52">
        <f>$C7*Altistus!H12</f>
        <v>128.21839999999986</v>
      </c>
      <c r="I15" s="52">
        <f>$C7*Altistus!I12</f>
        <v>102.5747199999999</v>
      </c>
      <c r="J15" s="52">
        <f>$C7*Altistus!J12</f>
        <v>25.643679999999975</v>
      </c>
      <c r="K15" s="52">
        <f>$C7*Altistus!K12</f>
        <v>359.01151999999962</v>
      </c>
      <c r="L15" s="52">
        <f>$C7*Altistus!L12</f>
        <v>64.10919999999993</v>
      </c>
      <c r="N15" t="s">
        <v>46</v>
      </c>
      <c r="O15" s="52">
        <f>SUM(C25:C29)</f>
        <v>876.3528399999999</v>
      </c>
      <c r="P15" s="52">
        <f t="shared" ref="P15:X15" si="6">SUM(D25:D29)</f>
        <v>0</v>
      </c>
      <c r="Q15" s="52">
        <f t="shared" si="6"/>
        <v>0</v>
      </c>
      <c r="R15" s="52">
        <f t="shared" si="6"/>
        <v>0</v>
      </c>
      <c r="S15" s="52">
        <f t="shared" si="6"/>
        <v>0</v>
      </c>
      <c r="T15" s="52">
        <f t="shared" si="6"/>
        <v>0</v>
      </c>
      <c r="U15" s="52">
        <f t="shared" si="6"/>
        <v>20.313459999999999</v>
      </c>
      <c r="V15" s="52">
        <f t="shared" si="6"/>
        <v>0</v>
      </c>
      <c r="W15" s="52">
        <f t="shared" si="6"/>
        <v>17.016559999999998</v>
      </c>
      <c r="X15" s="52">
        <f t="shared" si="6"/>
        <v>2279.3542199999997</v>
      </c>
      <c r="Y15" s="52">
        <f t="shared" si="5"/>
        <v>3193.0370799999996</v>
      </c>
    </row>
    <row r="16" spans="1:25" x14ac:dyDescent="0.3">
      <c r="B16" s="49" t="s">
        <v>12</v>
      </c>
      <c r="C16" s="52">
        <f>$C8*Altistus!C13</f>
        <v>0</v>
      </c>
      <c r="D16" s="52">
        <f>$C8*Altistus!D13</f>
        <v>68.62615999999997</v>
      </c>
      <c r="E16" s="52">
        <f>$C8*Altistus!E13</f>
        <v>0</v>
      </c>
      <c r="F16" s="52">
        <f>$C8*Altistus!F13</f>
        <v>0</v>
      </c>
      <c r="G16" s="52">
        <f>$C8*Altistus!G13</f>
        <v>0</v>
      </c>
      <c r="H16" s="52">
        <f>$C8*Altistus!H13</f>
        <v>0</v>
      </c>
      <c r="I16" s="52">
        <f>$C8*Altistus!I13</f>
        <v>17.156539999999993</v>
      </c>
      <c r="J16" s="52">
        <f>$C8*Altistus!J13</f>
        <v>0</v>
      </c>
      <c r="K16" s="52">
        <f>$C8*Altistus!K13</f>
        <v>0</v>
      </c>
      <c r="L16" s="52">
        <f>$C8*Altistus!L13</f>
        <v>17.156539999999993</v>
      </c>
      <c r="N16" t="s">
        <v>59</v>
      </c>
      <c r="O16" s="52">
        <f>SUM(O13:O15)</f>
        <v>2586.3902000000012</v>
      </c>
      <c r="P16" s="52">
        <f t="shared" ref="P16:V16" si="7">SUM(P13:P15)</f>
        <v>7815.5320000000029</v>
      </c>
      <c r="Q16" s="52">
        <f t="shared" si="7"/>
        <v>1391.4432500000007</v>
      </c>
      <c r="R16" s="52">
        <f t="shared" si="7"/>
        <v>57.12358000000004</v>
      </c>
      <c r="S16" s="52">
        <f t="shared" si="7"/>
        <v>1329.962610000001</v>
      </c>
      <c r="T16" s="52">
        <f t="shared" si="7"/>
        <v>1262.6290800000004</v>
      </c>
      <c r="U16" s="52">
        <f t="shared" si="7"/>
        <v>1894.6717300000005</v>
      </c>
      <c r="V16" s="52">
        <f t="shared" si="7"/>
        <v>1736.1028000000006</v>
      </c>
      <c r="W16" s="52">
        <f t="shared" ref="W16" si="8">SUM(W13:W15)</f>
        <v>2210.9112100000011</v>
      </c>
      <c r="X16" s="52">
        <f t="shared" ref="X16" si="9">SUM(X13:X15)</f>
        <v>4366.2911600000007</v>
      </c>
      <c r="Y16" s="52">
        <f t="shared" si="5"/>
        <v>24651.057620000011</v>
      </c>
    </row>
    <row r="17" spans="1:25" x14ac:dyDescent="0.3">
      <c r="B17" s="49" t="s">
        <v>16</v>
      </c>
      <c r="C17" s="52">
        <f>$C9*Altistus!C14</f>
        <v>0</v>
      </c>
      <c r="D17" s="52">
        <f>$C9*Altistus!D14</f>
        <v>0</v>
      </c>
      <c r="E17" s="52">
        <f>$C9*Altistus!E14</f>
        <v>0</v>
      </c>
      <c r="F17" s="52">
        <f>$C9*Altistus!F14</f>
        <v>0</v>
      </c>
      <c r="G17" s="52">
        <f>$C9*Altistus!G14</f>
        <v>0</v>
      </c>
      <c r="H17" s="52">
        <f>$C9*Altistus!H14</f>
        <v>0</v>
      </c>
      <c r="I17" s="52">
        <f>$C9*Altistus!I14</f>
        <v>0</v>
      </c>
      <c r="J17" s="52">
        <f>$C9*Altistus!J14</f>
        <v>0</v>
      </c>
      <c r="K17" s="52">
        <f>$C9*Altistus!K14</f>
        <v>0</v>
      </c>
      <c r="L17" s="52">
        <f>$C9*Altistus!L14</f>
        <v>0</v>
      </c>
    </row>
    <row r="18" spans="1:25" x14ac:dyDescent="0.3">
      <c r="A18" t="s">
        <v>45</v>
      </c>
      <c r="B18" s="48" t="s">
        <v>43</v>
      </c>
    </row>
    <row r="19" spans="1:25" x14ac:dyDescent="0.3">
      <c r="B19" s="49" t="s">
        <v>93</v>
      </c>
      <c r="C19" s="52">
        <f>$D5*Altistus!C22</f>
        <v>9.6700799999999987</v>
      </c>
      <c r="D19" s="52">
        <f>$D5*Altistus!D22</f>
        <v>435.15359999999993</v>
      </c>
      <c r="E19" s="52">
        <f>$D5*Altistus!E22</f>
        <v>54.797119999999993</v>
      </c>
      <c r="F19" s="52">
        <f>$D5*Altistus!F22</f>
        <v>3.2233599999999996</v>
      </c>
      <c r="G19" s="52">
        <f>$D5*Altistus!G22</f>
        <v>22.563519999999997</v>
      </c>
      <c r="H19" s="52">
        <f>$D5*Altistus!H22</f>
        <v>196.62495999999996</v>
      </c>
      <c r="I19" s="52">
        <f>$D5*Altistus!I22</f>
        <v>270.76223999999996</v>
      </c>
      <c r="J19" s="52">
        <f>$D5*Altistus!J22</f>
        <v>145.05119999999997</v>
      </c>
      <c r="K19" s="52">
        <f>$D5*Altistus!K22</f>
        <v>29.010239999999996</v>
      </c>
      <c r="L19" s="52">
        <f>$D5*Altistus!L22</f>
        <v>80.583999999999989</v>
      </c>
      <c r="N19" s="61" t="s">
        <v>182</v>
      </c>
    </row>
    <row r="20" spans="1:25" x14ac:dyDescent="0.3">
      <c r="B20" s="49" t="s">
        <v>10</v>
      </c>
      <c r="C20" s="52">
        <f>$D6*Altistus!C23</f>
        <v>0</v>
      </c>
      <c r="D20" s="52">
        <f>$D6*Altistus!D23</f>
        <v>290.42432999999994</v>
      </c>
      <c r="E20" s="52">
        <f>$D6*Altistus!E23</f>
        <v>32.269369999999995</v>
      </c>
      <c r="F20" s="52">
        <f>$D6*Altistus!F23</f>
        <v>0</v>
      </c>
      <c r="G20" s="52">
        <f>$D6*Altistus!G23</f>
        <v>4.6099099999999993</v>
      </c>
      <c r="H20" s="52">
        <f>$D6*Altistus!H23</f>
        <v>73.758559999999989</v>
      </c>
      <c r="I20" s="52">
        <f>$D6*Altistus!I23</f>
        <v>156.73693999999998</v>
      </c>
      <c r="J20" s="52">
        <f>$D6*Altistus!J23</f>
        <v>110.63783999999998</v>
      </c>
      <c r="K20" s="52">
        <f>$D6*Altistus!K23</f>
        <v>4.6099099999999993</v>
      </c>
      <c r="L20" s="52">
        <f>$D6*Altistus!L23</f>
        <v>36.879279999999994</v>
      </c>
      <c r="O20" s="46" t="s">
        <v>24</v>
      </c>
      <c r="P20" s="46" t="s">
        <v>26</v>
      </c>
      <c r="Q20" s="46" t="s">
        <v>27</v>
      </c>
      <c r="R20" s="46" t="s">
        <v>28</v>
      </c>
      <c r="S20" s="46" t="s">
        <v>30</v>
      </c>
      <c r="T20" s="46" t="s">
        <v>31</v>
      </c>
      <c r="U20" s="46" t="s">
        <v>32</v>
      </c>
      <c r="V20" s="46" t="s">
        <v>33</v>
      </c>
      <c r="W20" s="46" t="s">
        <v>34</v>
      </c>
      <c r="X20" s="46" t="s">
        <v>35</v>
      </c>
      <c r="Y20" s="50" t="s">
        <v>53</v>
      </c>
    </row>
    <row r="21" spans="1:25" x14ac:dyDescent="0.3">
      <c r="B21" s="49" t="s">
        <v>11</v>
      </c>
      <c r="C21" s="52">
        <f>$D7*Altistus!C24</f>
        <v>0</v>
      </c>
      <c r="D21" s="52">
        <f>$D7*Altistus!D24</f>
        <v>114.76727999999997</v>
      </c>
      <c r="E21" s="52">
        <f>$D7*Altistus!E24</f>
        <v>12.751919999999997</v>
      </c>
      <c r="F21" s="52">
        <f>$D7*Altistus!F24</f>
        <v>0</v>
      </c>
      <c r="G21" s="52">
        <f>$D7*Altistus!G24</f>
        <v>0</v>
      </c>
      <c r="H21" s="52">
        <f>$D7*Altistus!H24</f>
        <v>38.255759999999988</v>
      </c>
      <c r="I21" s="52">
        <f>$D7*Altistus!I24</f>
        <v>76.511519999999976</v>
      </c>
      <c r="J21" s="52">
        <f>$D7*Altistus!J24</f>
        <v>95.639399999999981</v>
      </c>
      <c r="K21" s="52">
        <f>$D7*Altistus!K24</f>
        <v>0</v>
      </c>
      <c r="L21" s="52">
        <f>$D7*Altistus!L24</f>
        <v>6.3759599999999983</v>
      </c>
      <c r="N21" t="s">
        <v>44</v>
      </c>
      <c r="O21" s="52">
        <f>O13*$H$6*$H$7</f>
        <v>119.02570960000008</v>
      </c>
      <c r="P21" s="52">
        <f t="shared" ref="P21:X21" si="10">P13*$H$6*$H$7</f>
        <v>487.66656960000023</v>
      </c>
      <c r="Q21" s="52">
        <f t="shared" si="10"/>
        <v>90.413738800000047</v>
      </c>
      <c r="R21" s="52">
        <f t="shared" si="10"/>
        <v>3.7730154000000033</v>
      </c>
      <c r="S21" s="52">
        <f t="shared" si="10"/>
        <v>91.195242600000071</v>
      </c>
      <c r="T21" s="52">
        <f t="shared" si="10"/>
        <v>65.586274600000039</v>
      </c>
      <c r="U21" s="52">
        <f t="shared" si="10"/>
        <v>95.327824200000052</v>
      </c>
      <c r="V21" s="52">
        <f t="shared" si="10"/>
        <v>89.842382000000057</v>
      </c>
      <c r="W21" s="52">
        <f t="shared" si="10"/>
        <v>151.21921500000008</v>
      </c>
      <c r="X21" s="52">
        <f t="shared" si="10"/>
        <v>137.4168390000001</v>
      </c>
      <c r="Y21" s="52">
        <f>SUM(O21:X21)</f>
        <v>1331.4668108000005</v>
      </c>
    </row>
    <row r="22" spans="1:25" x14ac:dyDescent="0.3">
      <c r="B22" s="49" t="s">
        <v>12</v>
      </c>
      <c r="C22" s="52">
        <f>$D8*Altistus!C25</f>
        <v>0</v>
      </c>
      <c r="D22" s="52">
        <f>$D8*Altistus!D25</f>
        <v>8.5215100000000028</v>
      </c>
      <c r="E22" s="52">
        <f>$D8*Altistus!E25</f>
        <v>0</v>
      </c>
      <c r="F22" s="52">
        <f>$D8*Altistus!F25</f>
        <v>0</v>
      </c>
      <c r="G22" s="52">
        <f>$D8*Altistus!G25</f>
        <v>0</v>
      </c>
      <c r="H22" s="52">
        <f>$D8*Altistus!H25</f>
        <v>17.043020000000006</v>
      </c>
      <c r="I22" s="52">
        <f>$D8*Altistus!I25</f>
        <v>8.5215100000000028</v>
      </c>
      <c r="J22" s="52">
        <f>$D8*Altistus!J25</f>
        <v>68.172080000000022</v>
      </c>
      <c r="K22" s="52">
        <f>$D8*Altistus!K25</f>
        <v>0</v>
      </c>
      <c r="L22" s="52">
        <f>$D8*Altistus!L25</f>
        <v>0</v>
      </c>
      <c r="N22" t="s">
        <v>45</v>
      </c>
      <c r="O22" s="52">
        <f>O14*$H$6*$H$7</f>
        <v>0.6769056</v>
      </c>
      <c r="P22" s="52">
        <f t="shared" ref="P22:X22" si="11">P14*$H$6*$H$7</f>
        <v>59.420670400000006</v>
      </c>
      <c r="Q22" s="52">
        <f t="shared" si="11"/>
        <v>6.9872886999999997</v>
      </c>
      <c r="R22" s="52">
        <f>R14*$H$6*$H$7</f>
        <v>0.22563519999999998</v>
      </c>
      <c r="S22" s="52">
        <f t="shared" si="11"/>
        <v>1.9021401</v>
      </c>
      <c r="T22" s="52">
        <f t="shared" si="11"/>
        <v>22.797761000000001</v>
      </c>
      <c r="U22" s="52">
        <f t="shared" si="11"/>
        <v>35.877254699999995</v>
      </c>
      <c r="V22" s="52">
        <f t="shared" si="11"/>
        <v>31.684813999999999</v>
      </c>
      <c r="W22" s="52">
        <f t="shared" si="11"/>
        <v>2.3534104999999998</v>
      </c>
      <c r="X22" s="52">
        <f t="shared" si="11"/>
        <v>8.6687467999999992</v>
      </c>
      <c r="Y22" s="52">
        <f t="shared" ref="Y22:Y24" si="12">SUM(O22:X22)</f>
        <v>170.594627</v>
      </c>
    </row>
    <row r="23" spans="1:25" x14ac:dyDescent="0.3">
      <c r="B23" s="49" t="s">
        <v>16</v>
      </c>
      <c r="C23" s="52">
        <f>$D9*Altistus!C26</f>
        <v>0</v>
      </c>
      <c r="D23" s="52">
        <f>$D9*Altistus!D26</f>
        <v>0</v>
      </c>
      <c r="E23" s="52">
        <f>$D9*Altistus!E26</f>
        <v>0</v>
      </c>
      <c r="F23" s="52">
        <f>$D9*Altistus!F26</f>
        <v>0</v>
      </c>
      <c r="G23" s="52">
        <f>$D9*Altistus!G26</f>
        <v>0</v>
      </c>
      <c r="H23" s="52">
        <f>$D9*Altistus!H26</f>
        <v>0</v>
      </c>
      <c r="I23" s="52">
        <f>$D9*Altistus!I26</f>
        <v>0</v>
      </c>
      <c r="J23" s="52">
        <f>$D9*Altistus!J26</f>
        <v>33.139680000000006</v>
      </c>
      <c r="K23" s="52">
        <f>$D9*Altistus!K26</f>
        <v>0</v>
      </c>
      <c r="L23" s="52">
        <f>$D9*Altistus!L26</f>
        <v>0</v>
      </c>
      <c r="N23" t="s">
        <v>46</v>
      </c>
      <c r="O23" s="52">
        <f t="shared" ref="O23:X23" si="13">O15*$H$6*$H$7</f>
        <v>61.344698799999996</v>
      </c>
      <c r="P23" s="52">
        <f t="shared" si="13"/>
        <v>0</v>
      </c>
      <c r="Q23" s="52">
        <f t="shared" si="13"/>
        <v>0</v>
      </c>
      <c r="R23" s="52">
        <f t="shared" si="13"/>
        <v>0</v>
      </c>
      <c r="S23" s="52">
        <f t="shared" si="13"/>
        <v>0</v>
      </c>
      <c r="T23" s="52">
        <f t="shared" si="13"/>
        <v>0</v>
      </c>
      <c r="U23" s="52">
        <f t="shared" si="13"/>
        <v>1.4219422000000002</v>
      </c>
      <c r="V23" s="52">
        <f t="shared" si="13"/>
        <v>0</v>
      </c>
      <c r="W23" s="52">
        <f t="shared" si="13"/>
        <v>1.1911592</v>
      </c>
      <c r="X23" s="52">
        <f t="shared" si="13"/>
        <v>159.55479539999999</v>
      </c>
      <c r="Y23" s="52">
        <f t="shared" si="12"/>
        <v>223.5125956</v>
      </c>
    </row>
    <row r="24" spans="1:25" x14ac:dyDescent="0.3">
      <c r="A24" t="s">
        <v>46</v>
      </c>
      <c r="B24" s="48" t="s">
        <v>43</v>
      </c>
      <c r="N24" t="s">
        <v>53</v>
      </c>
      <c r="O24" s="52">
        <f>SUM(O21:O23)</f>
        <v>181.04731400000009</v>
      </c>
      <c r="P24" s="52">
        <f t="shared" ref="P24:X24" si="14">SUM(P21:P23)</f>
        <v>547.08724000000029</v>
      </c>
      <c r="Q24" s="52">
        <f t="shared" si="14"/>
        <v>97.401027500000041</v>
      </c>
      <c r="R24" s="52">
        <f t="shared" si="14"/>
        <v>3.9986506000000035</v>
      </c>
      <c r="S24" s="52">
        <f t="shared" si="14"/>
        <v>93.097382700000068</v>
      </c>
      <c r="T24" s="52">
        <f t="shared" si="14"/>
        <v>88.384035600000033</v>
      </c>
      <c r="U24" s="52">
        <f t="shared" si="14"/>
        <v>132.62702110000004</v>
      </c>
      <c r="V24" s="52">
        <f t="shared" si="14"/>
        <v>121.52719600000006</v>
      </c>
      <c r="W24" s="52">
        <f t="shared" si="14"/>
        <v>154.76378470000006</v>
      </c>
      <c r="X24" s="52">
        <f t="shared" si="14"/>
        <v>305.64038120000009</v>
      </c>
      <c r="Y24" s="52">
        <f t="shared" si="12"/>
        <v>1725.5740334000009</v>
      </c>
    </row>
    <row r="25" spans="1:25" x14ac:dyDescent="0.3">
      <c r="B25" s="49" t="s">
        <v>93</v>
      </c>
      <c r="C25" s="52">
        <f>IF(Altistus!C34&gt;0,$E5*Altistus!C34,".")</f>
        <v>876.3528399999999</v>
      </c>
      <c r="D25" s="52" t="str">
        <f>IF(Altistus!D34&gt;0,$E5*Altistus!D34,".")</f>
        <v>.</v>
      </c>
      <c r="E25" s="52" t="str">
        <f>IF(Altistus!E34&gt;0,$E5*Altistus!E34,".")</f>
        <v>.</v>
      </c>
      <c r="F25" s="52" t="str">
        <f>IF(Altistus!F34&gt;0,$E5*Altistus!F34,".")</f>
        <v>.</v>
      </c>
      <c r="G25" s="52" t="str">
        <f>IF(Altistus!G34&gt;0,$E5*Altistus!G34,".")</f>
        <v>.</v>
      </c>
      <c r="H25" s="52" t="str">
        <f>IF(Altistus!H34&gt;0,$E5*Altistus!H34,".")</f>
        <v>.</v>
      </c>
      <c r="I25" s="52">
        <f>IF(Altistus!I34&gt;0,$E5*Altistus!I34,".")</f>
        <v>8.5082799999999992</v>
      </c>
      <c r="J25" s="52" t="str">
        <f>IF(Altistus!J34&gt;0,$E5*Altistus!J34,".")</f>
        <v>.</v>
      </c>
      <c r="K25" s="52">
        <f>IF(Altistus!K34&gt;0,$E5*Altistus!K34,".")</f>
        <v>17.016559999999998</v>
      </c>
      <c r="L25" s="52">
        <f>IF(Altistus!L34&gt;0,$E5*Altistus!L34,".")</f>
        <v>1582.5400799999998</v>
      </c>
    </row>
    <row r="26" spans="1:25" x14ac:dyDescent="0.3">
      <c r="B26" s="49" t="s">
        <v>10</v>
      </c>
      <c r="C26" s="52" t="str">
        <f>IF(Altistus!C35&gt;0,$E6*Altistus!C35,".")</f>
        <v>.</v>
      </c>
      <c r="D26" s="52" t="str">
        <f>IF(Altistus!D35&gt;0,$E6*Altistus!D35,".")</f>
        <v>.</v>
      </c>
      <c r="E26" s="52" t="str">
        <f>IF(Altistus!E35&gt;0,$E6*Altistus!E35,".")</f>
        <v>.</v>
      </c>
      <c r="F26" s="52" t="str">
        <f>IF(Altistus!F35&gt;0,$E6*Altistus!F35,".")</f>
        <v>.</v>
      </c>
      <c r="G26" s="52" t="str">
        <f>IF(Altistus!G35&gt;0,$E6*Altistus!G35,".")</f>
        <v>.</v>
      </c>
      <c r="H26" s="52" t="str">
        <f>IF(Altistus!H35&gt;0,$E6*Altistus!H35,".")</f>
        <v>.</v>
      </c>
      <c r="I26" s="52">
        <f>IF(Altistus!I35&gt;0,$E6*Altistus!I35,".")</f>
        <v>11.80518</v>
      </c>
      <c r="J26" s="52" t="str">
        <f>IF(Altistus!J35&gt;0,$E6*Altistus!J35,".")</f>
        <v>.</v>
      </c>
      <c r="K26" s="52" t="str">
        <f>IF(Altistus!K35&gt;0,$E6*Altistus!K35,".")</f>
        <v>.</v>
      </c>
      <c r="L26" s="52">
        <f>IF(Altistus!L35&gt;0,$E6*Altistus!L35,".")</f>
        <v>649.28489999999999</v>
      </c>
    </row>
    <row r="27" spans="1:25" x14ac:dyDescent="0.3">
      <c r="B27" s="49" t="s">
        <v>11</v>
      </c>
      <c r="C27" s="52" t="str">
        <f>IF(Altistus!C36&gt;0,$E7*Altistus!C36,".")</f>
        <v>.</v>
      </c>
      <c r="D27" s="52" t="str">
        <f>IF(Altistus!D36&gt;0,$E7*Altistus!D36,".")</f>
        <v>.</v>
      </c>
      <c r="E27" s="52" t="str">
        <f>IF(Altistus!E36&gt;0,$E7*Altistus!E36,".")</f>
        <v>.</v>
      </c>
      <c r="F27" s="52" t="str">
        <f>IF(Altistus!F36&gt;0,$E7*Altistus!F36,".")</f>
        <v>.</v>
      </c>
      <c r="G27" s="52" t="str">
        <f>IF(Altistus!G36&gt;0,$E7*Altistus!G36,".")</f>
        <v>.</v>
      </c>
      <c r="H27" s="52" t="str">
        <f>IF(Altistus!H36&gt;0,$E7*Altistus!H36,".")</f>
        <v>.</v>
      </c>
      <c r="I27" s="52" t="str">
        <f>IF(Altistus!I36&gt;0,$E7*Altistus!I36,".")</f>
        <v>.</v>
      </c>
      <c r="J27" s="52" t="str">
        <f>IF(Altistus!J36&gt;0,$E7*Altistus!J36,".")</f>
        <v>.</v>
      </c>
      <c r="K27" s="52" t="str">
        <f>IF(Altistus!K36&gt;0,$E7*Altistus!K36,".")</f>
        <v>.</v>
      </c>
      <c r="L27" s="52">
        <f>IF(Altistus!L36&gt;0,$E7*Altistus!L36,".")</f>
        <v>47.529240000000001</v>
      </c>
    </row>
    <row r="28" spans="1:25" x14ac:dyDescent="0.3">
      <c r="B28" s="49" t="s">
        <v>12</v>
      </c>
      <c r="C28" s="52" t="str">
        <f>IF(Altistus!C37&gt;0,$E8*Altistus!C37,".")</f>
        <v>.</v>
      </c>
      <c r="D28" s="52" t="str">
        <f>IF(Altistus!D37&gt;0,$E8*Altistus!D37,".")</f>
        <v>.</v>
      </c>
      <c r="E28" s="52" t="str">
        <f>IF(Altistus!E37&gt;0,$E8*Altistus!E37,".")</f>
        <v>.</v>
      </c>
      <c r="F28" s="52" t="str">
        <f>IF(Altistus!F37&gt;0,$E8*Altistus!F37,".")</f>
        <v>.</v>
      </c>
      <c r="G28" s="52" t="str">
        <f>IF(Altistus!G37&gt;0,$E8*Altistus!G37,".")</f>
        <v>.</v>
      </c>
      <c r="H28" s="52" t="str">
        <f>IF(Altistus!H37&gt;0,$E8*Altistus!H37,".")</f>
        <v>.</v>
      </c>
      <c r="I28" s="52" t="str">
        <f>IF(Altistus!I37&gt;0,$E8*Altistus!I37,".")</f>
        <v>.</v>
      </c>
      <c r="J28" s="52" t="str">
        <f>IF(Altistus!J37&gt;0,$E8*Altistus!J37,".")</f>
        <v>.</v>
      </c>
      <c r="K28" s="52" t="str">
        <f>IF(Altistus!K37&gt;0,$E8*Altistus!K37,".")</f>
        <v>.</v>
      </c>
      <c r="L28" s="52" t="str">
        <f>IF(Altistus!L37&gt;0,$E8*Altistus!L37,".")</f>
        <v>.</v>
      </c>
    </row>
    <row r="29" spans="1:25" x14ac:dyDescent="0.3">
      <c r="B29" s="49" t="s">
        <v>16</v>
      </c>
      <c r="C29" s="52" t="str">
        <f>IF(Altistus!C38&gt;0,$E9*Altistus!C38,".")</f>
        <v>.</v>
      </c>
      <c r="D29" s="52" t="str">
        <f>IF(Altistus!D38&gt;0,$E9*Altistus!D38,".")</f>
        <v>.</v>
      </c>
      <c r="E29" s="52" t="str">
        <f>IF(Altistus!E38&gt;0,$E9*Altistus!E38,".")</f>
        <v>.</v>
      </c>
      <c r="F29" s="52" t="str">
        <f>IF(Altistus!F38&gt;0,$E9*Altistus!F38,".")</f>
        <v>.</v>
      </c>
      <c r="G29" s="52" t="str">
        <f>IF(Altistus!G38&gt;0,$E9*Altistus!G38,".")</f>
        <v>.</v>
      </c>
      <c r="H29" s="52" t="str">
        <f>IF(Altistus!H38&gt;0,$E9*Altistus!H38,".")</f>
        <v>.</v>
      </c>
      <c r="I29" s="52" t="str">
        <f>IF(Altistus!I38&gt;0,$E9*Altistus!I38,".")</f>
        <v>.</v>
      </c>
      <c r="J29" s="52" t="str">
        <f>IF(Altistus!J38&gt;0,$E9*Altistus!J38,".")</f>
        <v>.</v>
      </c>
      <c r="K29" s="52" t="str">
        <f>IF(Altistus!K38&gt;0,$E9*Altistus!K38,".")</f>
        <v>.</v>
      </c>
      <c r="L29" s="52" t="str">
        <f>IF(Altistus!L38&gt;0,$E9*Altistus!L38,".")</f>
        <v>.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zoomScale="60" zoomScaleNormal="60" workbookViewId="0">
      <selection activeCell="O13" sqref="O13"/>
    </sheetView>
  </sheetViews>
  <sheetFormatPr defaultRowHeight="14.4" x14ac:dyDescent="0.3"/>
  <cols>
    <col min="2" max="2" width="20.6640625" bestFit="1" customWidth="1"/>
    <col min="16" max="16" width="10.5546875" bestFit="1" customWidth="1"/>
    <col min="17" max="17" width="11.5546875" bestFit="1" customWidth="1"/>
    <col min="18" max="18" width="10.5546875" bestFit="1" customWidth="1"/>
    <col min="19" max="20" width="11.5546875" bestFit="1" customWidth="1"/>
    <col min="21" max="21" width="10.5546875" bestFit="1" customWidth="1"/>
    <col min="22" max="23" width="11.5546875" bestFit="1" customWidth="1"/>
    <col min="24" max="24" width="10.5546875" bestFit="1" customWidth="1"/>
    <col min="28" max="29" width="16.6640625" bestFit="1" customWidth="1"/>
    <col min="30" max="30" width="14.6640625" bestFit="1" customWidth="1"/>
    <col min="31" max="31" width="15.6640625" bestFit="1" customWidth="1"/>
  </cols>
  <sheetData>
    <row r="1" spans="1:36" x14ac:dyDescent="0.3">
      <c r="B1" s="61" t="s">
        <v>183</v>
      </c>
    </row>
    <row r="3" spans="1:36" x14ac:dyDescent="0.3">
      <c r="B3" s="61" t="s">
        <v>184</v>
      </c>
      <c r="Z3" s="56"/>
      <c r="AA3" s="56"/>
      <c r="AB3" s="56"/>
      <c r="AC3" s="56"/>
      <c r="AD3" s="56"/>
      <c r="AE3" s="56"/>
      <c r="AF3" s="56"/>
      <c r="AG3" s="56"/>
      <c r="AH3" s="56"/>
      <c r="AI3" s="56"/>
    </row>
    <row r="4" spans="1:36" x14ac:dyDescent="0.3">
      <c r="B4" t="s">
        <v>175</v>
      </c>
      <c r="C4" t="s">
        <v>62</v>
      </c>
      <c r="K4" s="54"/>
      <c r="O4" s="61" t="s">
        <v>186</v>
      </c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</row>
    <row r="5" spans="1:36" x14ac:dyDescent="0.3">
      <c r="B5">
        <v>57</v>
      </c>
      <c r="C5">
        <v>1</v>
      </c>
      <c r="P5" t="s">
        <v>24</v>
      </c>
      <c r="Q5" t="s">
        <v>26</v>
      </c>
      <c r="R5" t="s">
        <v>64</v>
      </c>
      <c r="S5" t="s">
        <v>28</v>
      </c>
      <c r="T5" t="s">
        <v>30</v>
      </c>
      <c r="U5" t="s">
        <v>65</v>
      </c>
      <c r="V5" t="s">
        <v>32</v>
      </c>
      <c r="W5" t="s">
        <v>33</v>
      </c>
      <c r="X5" t="s">
        <v>34</v>
      </c>
      <c r="Y5" t="s">
        <v>35</v>
      </c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</row>
    <row r="6" spans="1:36" x14ac:dyDescent="0.3">
      <c r="B6">
        <v>62</v>
      </c>
      <c r="C6">
        <v>1.012</v>
      </c>
      <c r="O6" t="s">
        <v>66</v>
      </c>
      <c r="P6" s="52">
        <v>5035.1689019369696</v>
      </c>
      <c r="Q6" s="52">
        <v>13979.106200234815</v>
      </c>
      <c r="R6" s="52">
        <v>3074.5621550372916</v>
      </c>
      <c r="S6" s="52">
        <v>261.17420480413216</v>
      </c>
      <c r="T6" s="52">
        <v>2861.9223847915064</v>
      </c>
      <c r="U6" s="52">
        <v>2967.0127985730269</v>
      </c>
      <c r="V6" s="52">
        <v>3905.6871756418259</v>
      </c>
      <c r="W6" s="52">
        <v>5466.0195208260538</v>
      </c>
      <c r="X6" s="52">
        <v>4903.8317538928004</v>
      </c>
      <c r="Y6" s="52">
        <v>4214.0015982792811</v>
      </c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</row>
    <row r="7" spans="1:36" x14ac:dyDescent="0.3">
      <c r="B7">
        <v>67</v>
      </c>
      <c r="C7">
        <v>1.06</v>
      </c>
      <c r="O7" t="s">
        <v>67</v>
      </c>
      <c r="P7" s="52">
        <v>4737.155651761761</v>
      </c>
      <c r="Q7" s="52">
        <v>13166.488664943738</v>
      </c>
      <c r="R7" s="52">
        <v>2896.1428791770477</v>
      </c>
      <c r="S7" s="52">
        <v>246.08117808504397</v>
      </c>
      <c r="T7" s="52">
        <v>2697.3293091428895</v>
      </c>
      <c r="U7" s="52">
        <v>2795.0077179352588</v>
      </c>
      <c r="V7" s="52">
        <v>3678.2413637740765</v>
      </c>
      <c r="W7" s="52">
        <v>5150.888984707296</v>
      </c>
      <c r="X7" s="52">
        <v>4622.7410377337055</v>
      </c>
      <c r="Y7" s="52">
        <v>3964.0091687252925</v>
      </c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</row>
    <row r="8" spans="1:36" x14ac:dyDescent="0.3">
      <c r="B8">
        <v>72</v>
      </c>
      <c r="C8">
        <v>1.149</v>
      </c>
      <c r="O8" t="s">
        <v>68</v>
      </c>
      <c r="P8" s="52">
        <v>298.01325017516621</v>
      </c>
      <c r="Q8" s="52">
        <v>812.61753529092312</v>
      </c>
      <c r="R8" s="52">
        <v>178.41927586020887</v>
      </c>
      <c r="S8" s="52">
        <v>15.093026719084309</v>
      </c>
      <c r="T8" s="52">
        <v>164.59307564857991</v>
      </c>
      <c r="U8" s="52">
        <v>172.00508063773285</v>
      </c>
      <c r="V8" s="52">
        <v>227.44581186770722</v>
      </c>
      <c r="W8" s="52">
        <v>315.13053611868628</v>
      </c>
      <c r="X8" s="52">
        <v>281.09071615903053</v>
      </c>
      <c r="Y8" s="52">
        <v>249.99242955395411</v>
      </c>
      <c r="AA8" s="52"/>
      <c r="AB8" s="52"/>
      <c r="AC8" s="52"/>
      <c r="AD8" s="52"/>
      <c r="AE8" s="52"/>
    </row>
    <row r="9" spans="1:36" x14ac:dyDescent="0.3">
      <c r="B9">
        <v>77.5</v>
      </c>
      <c r="C9">
        <v>1.302</v>
      </c>
      <c r="O9" t="s">
        <v>69</v>
      </c>
      <c r="P9" s="52">
        <v>349.34898972311998</v>
      </c>
      <c r="Q9" s="52">
        <v>1060.8415793300874</v>
      </c>
      <c r="R9" s="52">
        <v>233.15059302079402</v>
      </c>
      <c r="S9" s="52">
        <v>21.023244031890652</v>
      </c>
      <c r="T9" s="52">
        <v>221.87278624021837</v>
      </c>
      <c r="U9" s="52">
        <v>229.63553974533818</v>
      </c>
      <c r="V9" s="52">
        <v>287.82524017809163</v>
      </c>
      <c r="W9" s="52">
        <v>432.2223108928531</v>
      </c>
      <c r="X9" s="52">
        <v>397.66005945930499</v>
      </c>
      <c r="Y9" s="52">
        <v>287.71655917375506</v>
      </c>
      <c r="AA9" s="52"/>
      <c r="AB9" s="52"/>
      <c r="AC9" s="52"/>
      <c r="AD9" s="52"/>
      <c r="AE9" s="52"/>
    </row>
    <row r="10" spans="1:36" x14ac:dyDescent="0.3">
      <c r="P10" s="52"/>
      <c r="Q10" s="52"/>
      <c r="R10" s="52"/>
      <c r="S10" s="52"/>
      <c r="T10" s="52"/>
      <c r="U10" s="52"/>
      <c r="V10" s="52"/>
      <c r="W10" s="52"/>
      <c r="X10" s="52"/>
      <c r="Y10" s="52"/>
      <c r="AA10" s="52"/>
      <c r="AB10" s="52"/>
      <c r="AC10" s="52"/>
      <c r="AD10" s="52"/>
      <c r="AE10" s="52"/>
    </row>
    <row r="11" spans="1:36" x14ac:dyDescent="0.3">
      <c r="A11" s="63"/>
      <c r="B11" s="94" t="s">
        <v>185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AA11" s="52"/>
      <c r="AB11" s="52"/>
      <c r="AC11" s="52"/>
      <c r="AD11" s="52"/>
      <c r="AE11" s="52"/>
    </row>
    <row r="12" spans="1:36" x14ac:dyDescent="0.3">
      <c r="A12" s="63"/>
      <c r="B12" s="63"/>
      <c r="C12" s="64" t="s">
        <v>24</v>
      </c>
      <c r="D12" s="64" t="s">
        <v>26</v>
      </c>
      <c r="E12" s="64" t="s">
        <v>27</v>
      </c>
      <c r="F12" s="64" t="s">
        <v>28</v>
      </c>
      <c r="G12" s="64" t="s">
        <v>30</v>
      </c>
      <c r="H12" s="64" t="s">
        <v>31</v>
      </c>
      <c r="I12" s="64" t="s">
        <v>32</v>
      </c>
      <c r="J12" s="64" t="s">
        <v>33</v>
      </c>
      <c r="K12" s="64" t="s">
        <v>34</v>
      </c>
      <c r="L12" s="64" t="s">
        <v>35</v>
      </c>
      <c r="O12" s="64" t="s">
        <v>203</v>
      </c>
      <c r="AB12" s="52"/>
      <c r="AC12" s="52"/>
      <c r="AD12" s="52"/>
      <c r="AE12" s="52"/>
    </row>
    <row r="13" spans="1:36" x14ac:dyDescent="0.3">
      <c r="A13" s="63"/>
      <c r="B13" s="63" t="s">
        <v>92</v>
      </c>
      <c r="C13" s="63">
        <v>269800</v>
      </c>
      <c r="D13" s="63">
        <v>628208</v>
      </c>
      <c r="E13" s="63">
        <v>137368</v>
      </c>
      <c r="F13" s="63">
        <v>9486</v>
      </c>
      <c r="G13" s="63">
        <v>112119</v>
      </c>
      <c r="H13" s="63">
        <v>103918</v>
      </c>
      <c r="I13" s="63">
        <v>198525</v>
      </c>
      <c r="J13" s="63">
        <v>225118</v>
      </c>
      <c r="K13" s="63">
        <v>185908</v>
      </c>
      <c r="L13" s="63">
        <v>214605</v>
      </c>
      <c r="AB13" s="52"/>
      <c r="AC13" s="52"/>
      <c r="AD13" s="52"/>
      <c r="AE13" s="52"/>
    </row>
    <row r="14" spans="1:36" x14ac:dyDescent="0.3">
      <c r="A14" s="63"/>
      <c r="B14" s="44" t="s">
        <v>63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AB14" s="52"/>
      <c r="AC14" s="52"/>
      <c r="AD14" s="52"/>
      <c r="AE14" s="52"/>
    </row>
    <row r="15" spans="1:36" x14ac:dyDescent="0.3">
      <c r="A15" s="44" t="s">
        <v>42</v>
      </c>
      <c r="B15" s="65" t="s">
        <v>10</v>
      </c>
      <c r="C15" s="66">
        <f>Altistus!C4/IHD!C$13</f>
        <v>0.13232023721275019</v>
      </c>
      <c r="D15" s="66">
        <f>Altistus!D4/IHD!D$13</f>
        <v>0.13657896747574053</v>
      </c>
      <c r="E15" s="66">
        <f>Altistus!E4/IHD!E$13</f>
        <v>0.12593908333818649</v>
      </c>
      <c r="F15" s="66">
        <f>Altistus!F4/IHD!F$13</f>
        <v>0.14758591608686486</v>
      </c>
      <c r="G15" s="66">
        <f>Altistus!G4/IHD!G$13</f>
        <v>0.15697607006840947</v>
      </c>
      <c r="H15" s="66">
        <f>Altistus!H4/IHD!H$13</f>
        <v>0.12894782424604015</v>
      </c>
      <c r="I15" s="66">
        <f>Altistus!I4/IHD!I$13</f>
        <v>0.12240272006044579</v>
      </c>
      <c r="J15" s="66">
        <f>Altistus!J4/IHD!J$13</f>
        <v>8.4844392718485415E-2</v>
      </c>
      <c r="K15" s="66">
        <f>Altistus!K4/IHD!K$13</f>
        <v>0.13178561438991329</v>
      </c>
      <c r="L15" s="66">
        <f>Altistus!L4/IHD!L$13</f>
        <v>0.16635213531837562</v>
      </c>
      <c r="AB15" s="52"/>
      <c r="AC15" s="52"/>
      <c r="AD15" s="52"/>
      <c r="AE15" s="52"/>
    </row>
    <row r="16" spans="1:36" x14ac:dyDescent="0.3">
      <c r="A16" s="63"/>
      <c r="B16" s="65" t="s">
        <v>11</v>
      </c>
      <c r="C16" s="66">
        <f>Altistus!C5/IHD!C$13</f>
        <v>5.893254262416605E-2</v>
      </c>
      <c r="D16" s="66">
        <f>Altistus!D5/IHD!D$13</f>
        <v>8.0705753508392125E-2</v>
      </c>
      <c r="E16" s="66">
        <f>Altistus!E5/IHD!E$13</f>
        <v>6.4061499039077513E-2</v>
      </c>
      <c r="F16" s="66">
        <f>Altistus!F5/IHD!F$13</f>
        <v>6.3251106894370648E-2</v>
      </c>
      <c r="G16" s="66">
        <f>Altistus!G5/IHD!G$13</f>
        <v>9.4542405836655699E-2</v>
      </c>
      <c r="H16" s="66">
        <f>Altistus!H5/IHD!H$13</f>
        <v>5.3888642968494389E-2</v>
      </c>
      <c r="I16" s="66">
        <f>Altistus!I5/IHD!I$13</f>
        <v>4.7349200352600429E-2</v>
      </c>
      <c r="J16" s="66">
        <f>Altistus!J5/IHD!J$13</f>
        <v>4.9751685782567362E-2</v>
      </c>
      <c r="K16" s="66">
        <f>Altistus!K5/IHD!K$13</f>
        <v>8.2836671902231207E-2</v>
      </c>
      <c r="L16" s="66">
        <f>Altistus!L5/IHD!L$13</f>
        <v>7.2225717014981011E-2</v>
      </c>
      <c r="O16" s="92" t="s">
        <v>187</v>
      </c>
      <c r="P16" s="52"/>
      <c r="Q16" s="52"/>
      <c r="R16" s="52"/>
    </row>
    <row r="17" spans="1:37" x14ac:dyDescent="0.3">
      <c r="A17" s="63"/>
      <c r="B17" s="65" t="s">
        <v>12</v>
      </c>
      <c r="C17" s="66">
        <f>Altistus!C6/IHD!C$13</f>
        <v>1.1860637509266123E-2</v>
      </c>
      <c r="D17" s="66">
        <f>Altistus!D6/IHD!D$13</f>
        <v>2.9289662022769527E-2</v>
      </c>
      <c r="E17" s="66">
        <f>Altistus!E6/IHD!E$13</f>
        <v>2.9846834779570206E-2</v>
      </c>
      <c r="F17" s="66">
        <f>Altistus!F6/IHD!F$13</f>
        <v>0</v>
      </c>
      <c r="G17" s="66">
        <f>Altistus!G6/IHD!G$13</f>
        <v>3.1216832115876881E-2</v>
      </c>
      <c r="H17" s="66">
        <f>Altistus!H6/IHD!H$13</f>
        <v>2.7906618680113165E-2</v>
      </c>
      <c r="I17" s="66">
        <f>Altistus!I6/IHD!I$13</f>
        <v>1.410401712630651E-2</v>
      </c>
      <c r="J17" s="66">
        <f>Altistus!J6/IHD!J$13</f>
        <v>2.043372808926874E-2</v>
      </c>
      <c r="K17" s="66">
        <f>Altistus!K6/IHD!K$13</f>
        <v>4.0880435484217999E-2</v>
      </c>
      <c r="L17" s="66">
        <f>Altistus!L6/IHD!L$13</f>
        <v>1.4911115770834789E-2</v>
      </c>
      <c r="O17" s="67"/>
      <c r="P17" s="53" t="s">
        <v>24</v>
      </c>
      <c r="Q17" s="53" t="s">
        <v>26</v>
      </c>
      <c r="R17" s="53" t="s">
        <v>27</v>
      </c>
      <c r="S17" t="s">
        <v>28</v>
      </c>
      <c r="T17" s="53" t="s">
        <v>30</v>
      </c>
      <c r="U17" s="53" t="s">
        <v>31</v>
      </c>
      <c r="V17" s="53" t="s">
        <v>32</v>
      </c>
      <c r="W17" s="53" t="s">
        <v>33</v>
      </c>
      <c r="X17" s="53" t="s">
        <v>34</v>
      </c>
      <c r="Y17" s="53" t="s">
        <v>35</v>
      </c>
      <c r="Z17" s="53" t="s">
        <v>70</v>
      </c>
    </row>
    <row r="18" spans="1:37" x14ac:dyDescent="0.3">
      <c r="A18" s="63"/>
      <c r="B18" s="65" t="s">
        <v>13</v>
      </c>
      <c r="C18" s="66">
        <f>Altistus!C7/IHD!C$13</f>
        <v>7.4128984432913266E-4</v>
      </c>
      <c r="D18" s="66">
        <f>Altistus!D7/IHD!D$13</f>
        <v>1.3053001553625551E-2</v>
      </c>
      <c r="E18" s="66">
        <f>Altistus!E7/IHD!E$13</f>
        <v>2.1839147399685516E-3</v>
      </c>
      <c r="F18" s="66">
        <f>Altistus!F7/IHD!F$13</f>
        <v>0</v>
      </c>
      <c r="G18" s="66">
        <f>Altistus!G7/IHD!G$13</f>
        <v>3.5676379561002149E-3</v>
      </c>
      <c r="H18" s="66">
        <f>Altistus!H7/IHD!H$13</f>
        <v>8.6606747627937415E-3</v>
      </c>
      <c r="I18" s="66">
        <f>Altistus!I7/IHD!I$13</f>
        <v>2.5185744868404481E-3</v>
      </c>
      <c r="J18" s="66">
        <f>Altistus!J7/IHD!J$13</f>
        <v>4.4421148020149431E-4</v>
      </c>
      <c r="K18" s="66">
        <f>Altistus!K7/IHD!K$13</f>
        <v>1.3985412139337737E-2</v>
      </c>
      <c r="L18" s="66">
        <f>Altistus!L7/IHD!L$13</f>
        <v>1.3979171035157615E-3</v>
      </c>
      <c r="O18" t="s">
        <v>66</v>
      </c>
      <c r="P18" s="52">
        <f>C$33*P6</f>
        <v>7.6884301062909133</v>
      </c>
      <c r="Q18" s="52">
        <f>D$33*Q6</f>
        <v>65.655060994389132</v>
      </c>
      <c r="R18" s="52">
        <f>E$33*R6</f>
        <v>8.844446507848815</v>
      </c>
      <c r="S18" s="59">
        <f>F$33*S6</f>
        <v>0.1980843419068061</v>
      </c>
      <c r="T18" s="52">
        <f>G$33*T6</f>
        <v>10.09290075069679</v>
      </c>
      <c r="U18" s="52">
        <f>H$33*U6</f>
        <v>10.676811485535794</v>
      </c>
      <c r="V18" s="52">
        <f>I$33*V6</f>
        <v>7.5694465913561695</v>
      </c>
      <c r="W18" s="52">
        <f>J$33*W6</f>
        <v>10.307103346485224</v>
      </c>
      <c r="X18" s="52">
        <f>K$33*X6</f>
        <v>26.972409888253338</v>
      </c>
      <c r="Y18" s="52">
        <f>L$33*Y6</f>
        <v>8.283855873418231</v>
      </c>
      <c r="Z18" s="52">
        <f>SUM(P18:Y18)</f>
        <v>156.28854988618119</v>
      </c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x14ac:dyDescent="0.3">
      <c r="A19" s="63"/>
      <c r="B19" s="65" t="s">
        <v>14</v>
      </c>
      <c r="C19" s="66">
        <f>Altistus!C8/IHD!C$13</f>
        <v>0</v>
      </c>
      <c r="D19" s="66">
        <f>Altistus!D8/IHD!D$13</f>
        <v>1.5918294577592135E-4</v>
      </c>
      <c r="E19" s="66">
        <f>Altistus!E8/IHD!E$13</f>
        <v>0</v>
      </c>
      <c r="F19" s="66">
        <f>Altistus!F8/IHD!F$13</f>
        <v>0</v>
      </c>
      <c r="G19" s="66">
        <f>Altistus!G8/IHD!G$13</f>
        <v>0</v>
      </c>
      <c r="H19" s="66">
        <f>Altistus!H8/IHD!H$13</f>
        <v>0</v>
      </c>
      <c r="I19" s="66">
        <f>Altistus!I8/IHD!I$13</f>
        <v>5.0371489736808961E-4</v>
      </c>
      <c r="J19" s="66">
        <f>Altistus!J8/IHD!J$13</f>
        <v>0</v>
      </c>
      <c r="K19" s="66">
        <f>Altistus!K8/IHD!K$13</f>
        <v>0</v>
      </c>
      <c r="L19" s="66">
        <f>Altistus!L8/IHD!L$13</f>
        <v>0</v>
      </c>
      <c r="O19" t="s">
        <v>67</v>
      </c>
      <c r="P19" s="52">
        <f>C$33*P7</f>
        <v>7.2333800197209746</v>
      </c>
      <c r="Q19" s="52">
        <f>D$33*Q7</f>
        <v>61.83847550741789</v>
      </c>
      <c r="R19" s="52">
        <f>E$33*R7</f>
        <v>8.3311962752166142</v>
      </c>
      <c r="S19" s="59">
        <f>F$33*S7</f>
        <v>0.18663722266593566</v>
      </c>
      <c r="T19" s="52">
        <f>G$33*T7</f>
        <v>9.5124442066614634</v>
      </c>
      <c r="U19" s="52">
        <f>H$33*U7</f>
        <v>10.057850279366722</v>
      </c>
      <c r="V19" s="52">
        <f>I$33*V7</f>
        <v>7.128643514218366</v>
      </c>
      <c r="W19" s="52">
        <f>J$33*W7</f>
        <v>9.7128714761024302</v>
      </c>
      <c r="X19" s="52">
        <f>K$33*X7</f>
        <v>25.426334412477235</v>
      </c>
      <c r="Y19" s="52">
        <f>L$33*Y7</f>
        <v>7.7924224442718062</v>
      </c>
      <c r="Z19" s="52">
        <f t="shared" ref="Z19:Z21" si="0">SUM(P19:Y19)</f>
        <v>147.22025535811943</v>
      </c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x14ac:dyDescent="0.3">
      <c r="A20" s="63"/>
      <c r="B20" s="65"/>
      <c r="C20" s="64"/>
      <c r="D20" s="64"/>
      <c r="E20" s="64"/>
      <c r="F20" s="64"/>
      <c r="G20" s="64"/>
      <c r="H20" s="64"/>
      <c r="I20" s="64"/>
      <c r="J20" s="64"/>
      <c r="K20" s="64"/>
      <c r="L20" s="64"/>
      <c r="O20" t="s">
        <v>68</v>
      </c>
      <c r="P20" s="52">
        <f>C$33*P8</f>
        <v>0.45505008656987361</v>
      </c>
      <c r="Q20" s="52">
        <f>D$33*Q8</f>
        <v>3.8165854869705136</v>
      </c>
      <c r="R20" s="52">
        <f>E$33*R8</f>
        <v>0.51325023263209935</v>
      </c>
      <c r="S20" s="59">
        <f>F$33*S8</f>
        <v>1.1447119240867522E-2</v>
      </c>
      <c r="T20" s="52">
        <f>G$33*T8</f>
        <v>0.58045654403519653</v>
      </c>
      <c r="U20" s="52">
        <f>H$33*U8</f>
        <v>0.61896120616894446</v>
      </c>
      <c r="V20" s="52">
        <f>I$33*V8</f>
        <v>0.44080307713772138</v>
      </c>
      <c r="W20" s="52">
        <f>J$33*W8</f>
        <v>0.59423187038265946</v>
      </c>
      <c r="X20" s="52">
        <f>K$33*X8</f>
        <v>1.5460754757757513</v>
      </c>
      <c r="Y20" s="52">
        <f>L$33*Y8</f>
        <v>0.49143342914635696</v>
      </c>
      <c r="Z20" s="52">
        <f t="shared" si="0"/>
        <v>9.0682945280599832</v>
      </c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x14ac:dyDescent="0.3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O21" t="s">
        <v>69</v>
      </c>
      <c r="P21" s="52">
        <f>C$33*P9</f>
        <v>0.53343697947377677</v>
      </c>
      <c r="Q21" s="52">
        <f>D$33*Q9</f>
        <v>4.9824085745289661</v>
      </c>
      <c r="R21" s="52">
        <f>E$33*R9</f>
        <v>0.67069320581701841</v>
      </c>
      <c r="S21" s="59">
        <f>F$33*S9</f>
        <v>1.5944819136814548E-2</v>
      </c>
      <c r="T21" s="52">
        <f>G$33*T9</f>
        <v>0.78246007743016632</v>
      </c>
      <c r="U21" s="52">
        <f>H$33*U9</f>
        <v>0.8263447226851901</v>
      </c>
      <c r="V21" s="52">
        <f>I$33*V9</f>
        <v>0.55782188516270559</v>
      </c>
      <c r="W21" s="52">
        <f>J$33*W9</f>
        <v>0.8150281955736679</v>
      </c>
      <c r="X21" s="52">
        <f>K$33*X9</f>
        <v>2.1872386040587721</v>
      </c>
      <c r="Y21" s="52">
        <f>L$33*Y9</f>
        <v>0.56559126830051942</v>
      </c>
      <c r="Z21" s="52">
        <f t="shared" si="0"/>
        <v>11.936968332167597</v>
      </c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x14ac:dyDescent="0.3">
      <c r="A22" s="57"/>
      <c r="B22" s="63" t="s">
        <v>188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P22" s="51"/>
      <c r="Q22" s="51"/>
      <c r="R22" s="51"/>
      <c r="T22" s="51"/>
      <c r="U22" s="51"/>
      <c r="V22" s="51"/>
      <c r="W22" s="51"/>
      <c r="X22" s="51"/>
      <c r="Y22" s="51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x14ac:dyDescent="0.3"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x14ac:dyDescent="0.3">
      <c r="B24" t="s">
        <v>74</v>
      </c>
      <c r="Q24" s="53"/>
      <c r="R24" s="53"/>
      <c r="T24" s="53"/>
      <c r="U24" s="53"/>
      <c r="V24" s="53"/>
      <c r="W24" s="53"/>
      <c r="X24" s="53"/>
      <c r="Y24" s="53"/>
    </row>
    <row r="25" spans="1:37" x14ac:dyDescent="0.3">
      <c r="B25" t="s">
        <v>75</v>
      </c>
      <c r="Q25" s="55"/>
      <c r="R25" s="55"/>
      <c r="T25" s="55"/>
      <c r="U25" s="55"/>
      <c r="V25" s="55"/>
      <c r="W25" s="55"/>
      <c r="X25" s="55"/>
      <c r="Y25" s="55"/>
    </row>
    <row r="26" spans="1:37" x14ac:dyDescent="0.3">
      <c r="B26" t="s">
        <v>76</v>
      </c>
      <c r="Q26" s="55"/>
      <c r="R26" s="55"/>
      <c r="T26" s="55"/>
      <c r="U26" s="55"/>
      <c r="V26" s="55"/>
      <c r="W26" s="55"/>
      <c r="X26" s="55"/>
      <c r="Y26" s="55"/>
    </row>
    <row r="27" spans="1:37" x14ac:dyDescent="0.3">
      <c r="B27" t="s">
        <v>77</v>
      </c>
      <c r="Q27" s="55"/>
      <c r="R27" s="55"/>
      <c r="T27" s="55"/>
      <c r="U27" s="55"/>
      <c r="V27" s="55"/>
      <c r="W27" s="55"/>
      <c r="X27" s="55"/>
      <c r="Y27" s="55"/>
    </row>
    <row r="28" spans="1:37" x14ac:dyDescent="0.3">
      <c r="B28" t="s">
        <v>78</v>
      </c>
      <c r="Q28" s="55"/>
      <c r="R28" s="55"/>
      <c r="T28" s="55"/>
      <c r="U28" s="55"/>
      <c r="V28" s="55"/>
      <c r="W28" s="55"/>
      <c r="X28" s="55"/>
      <c r="Y28" s="55"/>
    </row>
    <row r="29" spans="1:37" x14ac:dyDescent="0.3">
      <c r="C29" s="64" t="s">
        <v>24</v>
      </c>
      <c r="D29" s="64" t="s">
        <v>26</v>
      </c>
      <c r="E29" s="64" t="s">
        <v>27</v>
      </c>
      <c r="F29" s="64" t="s">
        <v>28</v>
      </c>
      <c r="G29" s="64" t="s">
        <v>30</v>
      </c>
      <c r="H29" s="64" t="s">
        <v>31</v>
      </c>
      <c r="I29" s="64" t="s">
        <v>32</v>
      </c>
      <c r="J29" s="64" t="s">
        <v>33</v>
      </c>
      <c r="K29" s="64" t="s">
        <v>34</v>
      </c>
      <c r="L29" s="64" t="s">
        <v>35</v>
      </c>
      <c r="Q29" s="55"/>
      <c r="R29" s="55"/>
      <c r="T29" s="55"/>
      <c r="U29" s="55"/>
      <c r="V29" s="55"/>
      <c r="W29" s="55"/>
      <c r="X29" s="55"/>
      <c r="Y29" s="55"/>
    </row>
    <row r="30" spans="1:37" x14ac:dyDescent="0.3">
      <c r="B30" t="s">
        <v>79</v>
      </c>
      <c r="C30" s="58">
        <f>SUMPRODUCT($C$5:$C$9,C15:C19)</f>
        <v>0.20538398813936248</v>
      </c>
      <c r="D30" s="58">
        <f t="shared" ref="D30:L30" si="1">SUMPRODUCT($C$5:$C$9,D15:D19)</f>
        <v>0.26450538675088503</v>
      </c>
      <c r="E30" s="58">
        <f t="shared" si="1"/>
        <v>0.22491628326830124</v>
      </c>
      <c r="F30" s="58">
        <f t="shared" si="1"/>
        <v>0.21159603626396795</v>
      </c>
      <c r="G30" s="58">
        <f>SUMPRODUCT($C$5:$C$9,G15:G19)</f>
        <v>0.28984204282949366</v>
      </c>
      <c r="H30" s="58">
        <f t="shared" si="1"/>
        <v>0.22301526203352645</v>
      </c>
      <c r="I30" s="58">
        <f t="shared" si="1"/>
        <v>0.18882004785291528</v>
      </c>
      <c r="J30" s="58">
        <f t="shared" si="1"/>
        <v>0.15736324949581995</v>
      </c>
      <c r="K30" s="58">
        <f t="shared" si="1"/>
        <v>0.27501882651634141</v>
      </c>
      <c r="L30" s="58">
        <f t="shared" si="1"/>
        <v>0.25685655040656091</v>
      </c>
    </row>
    <row r="31" spans="1:37" x14ac:dyDescent="0.3">
      <c r="B31" t="s">
        <v>80</v>
      </c>
      <c r="C31" s="60">
        <f>1-SUM(C15:C19)</f>
        <v>0.79614529280948854</v>
      </c>
      <c r="D31" s="60">
        <f t="shared" ref="D31:L31" si="2">1-SUM(D15:D19)</f>
        <v>0.74021343249369631</v>
      </c>
      <c r="E31" s="60">
        <f t="shared" si="2"/>
        <v>0.7779686681031972</v>
      </c>
      <c r="F31" s="60">
        <f t="shared" si="2"/>
        <v>0.78916297701876448</v>
      </c>
      <c r="G31" s="60">
        <f t="shared" si="2"/>
        <v>0.71369705402295769</v>
      </c>
      <c r="H31" s="60">
        <f t="shared" si="2"/>
        <v>0.78059623934255851</v>
      </c>
      <c r="I31" s="60">
        <f t="shared" si="2"/>
        <v>0.81312177307643874</v>
      </c>
      <c r="J31" s="60">
        <f>1-SUM(J15:J19)</f>
        <v>0.84452598192947703</v>
      </c>
      <c r="K31" s="60">
        <f t="shared" si="2"/>
        <v>0.73051186608429974</v>
      </c>
      <c r="L31" s="60">
        <f t="shared" si="2"/>
        <v>0.74511311479229281</v>
      </c>
    </row>
    <row r="32" spans="1:37" x14ac:dyDescent="0.3">
      <c r="B32" t="s">
        <v>81</v>
      </c>
      <c r="C32" s="58">
        <f>C30+C31</f>
        <v>1.001529280948851</v>
      </c>
      <c r="D32" s="58">
        <f t="shared" ref="D32:L32" si="3">D30+D31</f>
        <v>1.0047188192445813</v>
      </c>
      <c r="E32" s="58">
        <f t="shared" si="3"/>
        <v>1.0028849513714984</v>
      </c>
      <c r="F32" s="58">
        <f t="shared" si="3"/>
        <v>1.0007590132827324</v>
      </c>
      <c r="G32" s="58">
        <f t="shared" si="3"/>
        <v>1.0035390968524514</v>
      </c>
      <c r="H32" s="58">
        <f t="shared" si="3"/>
        <v>1.0036115013760849</v>
      </c>
      <c r="I32" s="58">
        <f t="shared" si="3"/>
        <v>1.001941820929354</v>
      </c>
      <c r="J32" s="58">
        <f t="shared" si="3"/>
        <v>1.001889231425297</v>
      </c>
      <c r="K32" s="58">
        <f t="shared" si="3"/>
        <v>1.0055306926006411</v>
      </c>
      <c r="L32" s="58">
        <f t="shared" si="3"/>
        <v>1.0019696651988537</v>
      </c>
    </row>
    <row r="33" spans="2:12" x14ac:dyDescent="0.3">
      <c r="B33" s="61" t="s">
        <v>82</v>
      </c>
      <c r="C33" s="62">
        <f>(C32-1)/C32</f>
        <v>1.5269458196989708E-3</v>
      </c>
      <c r="D33" s="62">
        <f t="shared" ref="D33:L33" si="4">(D32-1)/D32</f>
        <v>4.6966565711680681E-3</v>
      </c>
      <c r="E33" s="62">
        <f t="shared" si="4"/>
        <v>2.8766523693002197E-3</v>
      </c>
      <c r="F33" s="62">
        <f t="shared" si="4"/>
        <v>7.5843761850585378E-4</v>
      </c>
      <c r="G33" s="62">
        <f t="shared" si="4"/>
        <v>3.5266158175117899E-3</v>
      </c>
      <c r="H33" s="62">
        <f t="shared" si="4"/>
        <v>3.5985053689929357E-3</v>
      </c>
      <c r="I33" s="62">
        <f t="shared" si="4"/>
        <v>1.9380575686050109E-3</v>
      </c>
      <c r="J33" s="62">
        <f t="shared" si="4"/>
        <v>1.8856689602395639E-3</v>
      </c>
      <c r="K33" s="62">
        <f t="shared" si="4"/>
        <v>5.5002722854106643E-3</v>
      </c>
      <c r="L33" s="62">
        <f t="shared" si="4"/>
        <v>1.9657932443122015E-3</v>
      </c>
    </row>
    <row r="35" spans="2:12" x14ac:dyDescent="0.3">
      <c r="C35" s="64"/>
      <c r="D35" s="64"/>
      <c r="E35" s="64"/>
      <c r="F35" s="64"/>
      <c r="G35" s="64"/>
      <c r="H35" s="64"/>
      <c r="I35" s="64"/>
      <c r="J35" s="64"/>
      <c r="K35" s="64"/>
      <c r="L35" s="64"/>
    </row>
    <row r="36" spans="2:12" x14ac:dyDescent="0.3">
      <c r="C36" s="62"/>
      <c r="D36" s="62"/>
      <c r="E36" s="62"/>
      <c r="F36" s="62"/>
      <c r="G36" s="62"/>
      <c r="H36" s="62"/>
      <c r="I36" s="62"/>
      <c r="J36" s="62"/>
      <c r="K36" s="62"/>
      <c r="L36" s="62"/>
    </row>
    <row r="38" spans="2:12" x14ac:dyDescent="0.3">
      <c r="C38" t="s">
        <v>88</v>
      </c>
      <c r="D38" t="s">
        <v>89</v>
      </c>
    </row>
    <row r="39" spans="2:12" x14ac:dyDescent="0.3">
      <c r="C39" s="64" t="s">
        <v>24</v>
      </c>
      <c r="D39" s="70">
        <v>1.5269458196989708E-3</v>
      </c>
    </row>
    <row r="40" spans="2:12" x14ac:dyDescent="0.3">
      <c r="C40" s="64" t="s">
        <v>26</v>
      </c>
      <c r="D40" s="70">
        <v>4.6966565711680681E-3</v>
      </c>
    </row>
    <row r="41" spans="2:12" x14ac:dyDescent="0.3">
      <c r="C41" s="64" t="s">
        <v>27</v>
      </c>
      <c r="D41" s="70">
        <v>2.8766523693002197E-3</v>
      </c>
    </row>
    <row r="42" spans="2:12" x14ac:dyDescent="0.3">
      <c r="C42" s="64" t="s">
        <v>28</v>
      </c>
      <c r="D42" s="70">
        <v>7.5843761850585378E-4</v>
      </c>
    </row>
    <row r="43" spans="2:12" x14ac:dyDescent="0.3">
      <c r="C43" s="64" t="s">
        <v>30</v>
      </c>
      <c r="D43" s="70">
        <v>3.5266158175117899E-3</v>
      </c>
    </row>
    <row r="44" spans="2:12" x14ac:dyDescent="0.3">
      <c r="C44" s="64" t="s">
        <v>31</v>
      </c>
      <c r="D44" s="70">
        <v>3.5985053689929357E-3</v>
      </c>
    </row>
    <row r="45" spans="2:12" x14ac:dyDescent="0.3">
      <c r="C45" s="64" t="s">
        <v>32</v>
      </c>
      <c r="D45" s="70">
        <v>1.9380575686050109E-3</v>
      </c>
    </row>
    <row r="46" spans="2:12" x14ac:dyDescent="0.3">
      <c r="C46" s="64" t="s">
        <v>33</v>
      </c>
      <c r="D46" s="70">
        <v>1.8856689602395639E-3</v>
      </c>
    </row>
    <row r="47" spans="2:12" x14ac:dyDescent="0.3">
      <c r="C47" s="64" t="s">
        <v>34</v>
      </c>
      <c r="D47" s="70">
        <v>5.5002722854106643E-3</v>
      </c>
    </row>
    <row r="48" spans="2:12" x14ac:dyDescent="0.3">
      <c r="C48" s="64" t="s">
        <v>35</v>
      </c>
      <c r="D48" s="70">
        <v>1.9657932443122015E-3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84"/>
  <sheetViews>
    <sheetView zoomScale="60" zoomScaleNormal="60" workbookViewId="0">
      <selection activeCell="R41" sqref="R41"/>
    </sheetView>
  </sheetViews>
  <sheetFormatPr defaultRowHeight="14.4" x14ac:dyDescent="0.3"/>
  <cols>
    <col min="4" max="4" width="10.77734375" bestFit="1" customWidth="1"/>
    <col min="5" max="5" width="9" bestFit="1" customWidth="1"/>
    <col min="6" max="6" width="9.109375" bestFit="1" customWidth="1"/>
    <col min="7" max="7" width="9" bestFit="1" customWidth="1"/>
    <col min="8" max="8" width="9.5546875" bestFit="1" customWidth="1"/>
    <col min="9" max="12" width="9" bestFit="1" customWidth="1"/>
    <col min="13" max="13" width="10.5546875" bestFit="1" customWidth="1"/>
  </cols>
  <sheetData>
    <row r="4" spans="2:13" x14ac:dyDescent="0.3">
      <c r="B4" s="61" t="s">
        <v>194</v>
      </c>
    </row>
    <row r="5" spans="2:13" x14ac:dyDescent="0.3">
      <c r="C5" t="str">
        <f>HA!O19</f>
        <v>Espoo</v>
      </c>
      <c r="D5" t="str">
        <f>HA!P19</f>
        <v>Helsinki</v>
      </c>
      <c r="E5" t="str">
        <f>HA!Q19</f>
        <v>Jyvaskyla</v>
      </c>
      <c r="F5" t="str">
        <f>HA!R19</f>
        <v>Kauniainen</v>
      </c>
      <c r="G5" t="str">
        <f>HA!S19</f>
        <v>Kuopio</v>
      </c>
      <c r="H5" t="str">
        <f>HA!T19</f>
        <v>Lahti</v>
      </c>
      <c r="I5" t="str">
        <f>HA!U19</f>
        <v>Oulu</v>
      </c>
      <c r="J5" t="str">
        <f>HA!V19</f>
        <v>Tampere</v>
      </c>
      <c r="K5" t="str">
        <f>HA!W19</f>
        <v>Turku</v>
      </c>
      <c r="L5" t="str">
        <f>HA!X19</f>
        <v>Vantaa</v>
      </c>
      <c r="M5" t="str">
        <f>HA!Y19</f>
        <v>Summa</v>
      </c>
    </row>
    <row r="6" spans="2:13" x14ac:dyDescent="0.3">
      <c r="B6" t="str">
        <f>HA!N20</f>
        <v>TIE</v>
      </c>
      <c r="C6" s="52">
        <f>HA!O20</f>
        <v>108.38834900000002</v>
      </c>
      <c r="D6" s="52">
        <f>HA!P20</f>
        <v>378.4056826370001</v>
      </c>
      <c r="E6" s="52">
        <f>HA!Q20</f>
        <v>66.226772000000011</v>
      </c>
      <c r="F6" s="52">
        <f>HA!R20</f>
        <v>3.6637740000000001</v>
      </c>
      <c r="G6" s="52">
        <f>HA!S20</f>
        <v>69.425285000000017</v>
      </c>
      <c r="H6" s="52">
        <f>HA!T20</f>
        <v>51.105377000000011</v>
      </c>
      <c r="I6" s="52">
        <f>HA!U20</f>
        <v>75.64543963700001</v>
      </c>
      <c r="J6" s="52">
        <f>HA!V20</f>
        <v>75.732697000000016</v>
      </c>
      <c r="K6" s="52">
        <f>HA!W20</f>
        <v>120.61588900000001</v>
      </c>
      <c r="L6" s="52">
        <f>HA!X20</f>
        <v>107.97890900000003</v>
      </c>
      <c r="M6" s="52">
        <f>HA!Y20</f>
        <v>1057.1881742740002</v>
      </c>
    </row>
    <row r="7" spans="2:13" x14ac:dyDescent="0.3">
      <c r="B7" t="str">
        <f>HA!N21</f>
        <v>RAIDE</v>
      </c>
      <c r="C7" s="52">
        <f>HA!O21</f>
        <v>0.82903724999999995</v>
      </c>
      <c r="D7" s="52">
        <f>HA!P21</f>
        <v>39.211564499999994</v>
      </c>
      <c r="E7" s="52">
        <f>HA!Q21</f>
        <v>3.3630630000000004</v>
      </c>
      <c r="F7" s="52">
        <f>HA!R21</f>
        <v>0.24958350000000004</v>
      </c>
      <c r="G7" s="52">
        <f>HA!S21</f>
        <v>0.69231825000000002</v>
      </c>
      <c r="H7" s="52">
        <f>HA!T21</f>
        <v>10.28968875</v>
      </c>
      <c r="I7" s="52">
        <f>HA!U21</f>
        <v>16.856111250000001</v>
      </c>
      <c r="J7" s="52">
        <f>HA!V21</f>
        <v>17.046411386250004</v>
      </c>
      <c r="K7" s="52">
        <f>HA!W21</f>
        <v>1.1350530000000001</v>
      </c>
      <c r="L7" s="52">
        <f>HA!X21</f>
        <v>6.3586334999999998</v>
      </c>
      <c r="M7" s="52">
        <f>HA!Y21</f>
        <v>96.031464386249979</v>
      </c>
    </row>
    <row r="8" spans="2:13" x14ac:dyDescent="0.3">
      <c r="B8" t="str">
        <f>HA!N22</f>
        <v>LENTO</v>
      </c>
      <c r="C8" s="52">
        <f>HA!O22</f>
        <v>1.0356027000000001</v>
      </c>
      <c r="D8" s="52">
        <f>HA!P22</f>
        <v>0</v>
      </c>
      <c r="E8" s="52">
        <f>HA!Q22</f>
        <v>0</v>
      </c>
      <c r="F8" s="52">
        <f>HA!R22</f>
        <v>0</v>
      </c>
      <c r="G8" s="52">
        <f>HA!S22</f>
        <v>0</v>
      </c>
      <c r="H8" s="52">
        <f>HA!T22</f>
        <v>0</v>
      </c>
      <c r="I8" s="52">
        <f>HA!U22</f>
        <v>0.93520295000000009</v>
      </c>
      <c r="J8" s="52">
        <f>HA!V22</f>
        <v>0</v>
      </c>
      <c r="K8" s="52">
        <f>HA!W22</f>
        <v>1.6115052250000002</v>
      </c>
      <c r="L8" s="52">
        <f>HA!X22</f>
        <v>41.804320250000004</v>
      </c>
      <c r="M8" s="52">
        <f>HA!Y22</f>
        <v>45.386631125000001</v>
      </c>
    </row>
    <row r="9" spans="2:13" x14ac:dyDescent="0.3">
      <c r="B9" t="str">
        <f>HA!N23</f>
        <v>Summa</v>
      </c>
      <c r="C9" s="52">
        <f>HA!O23</f>
        <v>110.25298895000002</v>
      </c>
      <c r="D9" s="52">
        <f>HA!P23</f>
        <v>417.61724713700011</v>
      </c>
      <c r="E9" s="52">
        <f>HA!Q23</f>
        <v>69.589835000000008</v>
      </c>
      <c r="F9" s="52">
        <f>HA!R23</f>
        <v>3.9133575000000005</v>
      </c>
      <c r="G9" s="52">
        <f>HA!S23</f>
        <v>70.117603250000016</v>
      </c>
      <c r="H9" s="52">
        <f>HA!T23</f>
        <v>61.395065750000015</v>
      </c>
      <c r="I9" s="52">
        <f>HA!U23</f>
        <v>93.436753837000012</v>
      </c>
      <c r="J9" s="52">
        <f>HA!V23</f>
        <v>92.779108386250016</v>
      </c>
      <c r="K9" s="52">
        <f>HA!W23</f>
        <v>123.36244722500001</v>
      </c>
      <c r="L9" s="52">
        <f>HA!X23</f>
        <v>156.14186275000003</v>
      </c>
      <c r="M9" s="52">
        <f>HA!Y23</f>
        <v>1198.6062697852501</v>
      </c>
    </row>
    <row r="10" spans="2:13" x14ac:dyDescent="0.3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</row>
    <row r="11" spans="2:13" x14ac:dyDescent="0.3">
      <c r="B11" s="61" t="s">
        <v>195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</row>
    <row r="12" spans="2:13" x14ac:dyDescent="0.3">
      <c r="C12" s="52" t="str">
        <f>HSD!O20</f>
        <v>Espoo</v>
      </c>
      <c r="D12" s="52" t="str">
        <f>HSD!P20</f>
        <v>Helsinki</v>
      </c>
      <c r="E12" s="52" t="str">
        <f>HSD!Q20</f>
        <v>Jyvaskyla</v>
      </c>
      <c r="F12" s="52" t="str">
        <f>HSD!R20</f>
        <v>Kauniainen</v>
      </c>
      <c r="G12" s="52" t="str">
        <f>HSD!S20</f>
        <v>Kuopio</v>
      </c>
      <c r="H12" s="52" t="str">
        <f>HSD!T20</f>
        <v>Lahti</v>
      </c>
      <c r="I12" s="52" t="str">
        <f>HSD!U20</f>
        <v>Oulu</v>
      </c>
      <c r="J12" s="52" t="str">
        <f>HSD!V20</f>
        <v>Tampere</v>
      </c>
      <c r="K12" s="52" t="str">
        <f>HSD!W20</f>
        <v>Turku</v>
      </c>
      <c r="L12" s="52" t="str">
        <f>HSD!X20</f>
        <v>Vantaa</v>
      </c>
      <c r="M12" s="52" t="str">
        <f>HSD!Y20</f>
        <v>Summa</v>
      </c>
    </row>
    <row r="13" spans="2:13" x14ac:dyDescent="0.3">
      <c r="B13" t="str">
        <f>HSD!N21</f>
        <v>TIE</v>
      </c>
      <c r="C13" s="52">
        <f>HSD!O21</f>
        <v>119.02570960000008</v>
      </c>
      <c r="D13" s="52">
        <f>HSD!P21</f>
        <v>487.66656960000023</v>
      </c>
      <c r="E13" s="52">
        <f>HSD!Q21</f>
        <v>90.413738800000047</v>
      </c>
      <c r="F13" s="52">
        <f>HSD!R21</f>
        <v>3.7730154000000033</v>
      </c>
      <c r="G13" s="52">
        <f>HSD!S21</f>
        <v>91.195242600000071</v>
      </c>
      <c r="H13" s="52">
        <f>HSD!T21</f>
        <v>65.586274600000039</v>
      </c>
      <c r="I13" s="52">
        <f>HSD!U21</f>
        <v>95.327824200000052</v>
      </c>
      <c r="J13" s="52">
        <f>HSD!V21</f>
        <v>89.842382000000057</v>
      </c>
      <c r="K13" s="52">
        <f>HSD!W21</f>
        <v>151.21921500000008</v>
      </c>
      <c r="L13" s="52">
        <f>HSD!X21</f>
        <v>137.4168390000001</v>
      </c>
      <c r="M13" s="52">
        <f>HSD!Y21</f>
        <v>1331.4668108000005</v>
      </c>
    </row>
    <row r="14" spans="2:13" x14ac:dyDescent="0.3">
      <c r="B14" t="str">
        <f>HSD!N22</f>
        <v>RAIDE</v>
      </c>
      <c r="C14" s="52">
        <f>HSD!O22</f>
        <v>0.6769056</v>
      </c>
      <c r="D14" s="52">
        <f>HSD!P22</f>
        <v>59.420670400000006</v>
      </c>
      <c r="E14" s="52">
        <f>HSD!Q22</f>
        <v>6.9872886999999997</v>
      </c>
      <c r="F14" s="52">
        <f>HSD!R22</f>
        <v>0.22563519999999998</v>
      </c>
      <c r="G14" s="52">
        <f>HSD!S22</f>
        <v>1.9021401</v>
      </c>
      <c r="H14" s="52">
        <f>HSD!T22</f>
        <v>22.797761000000001</v>
      </c>
      <c r="I14" s="52">
        <f>HSD!U22</f>
        <v>35.877254699999995</v>
      </c>
      <c r="J14" s="52">
        <f>HSD!V22</f>
        <v>31.684813999999999</v>
      </c>
      <c r="K14" s="52">
        <f>HSD!W22</f>
        <v>2.3534104999999998</v>
      </c>
      <c r="L14" s="52">
        <f>HSD!X22</f>
        <v>8.6687467999999992</v>
      </c>
      <c r="M14" s="52">
        <f>HSD!Y22</f>
        <v>170.594627</v>
      </c>
    </row>
    <row r="15" spans="2:13" x14ac:dyDescent="0.3">
      <c r="B15" t="str">
        <f>HSD!N23</f>
        <v>LENTO</v>
      </c>
      <c r="C15" s="52">
        <f>HSD!O23</f>
        <v>61.344698799999996</v>
      </c>
      <c r="D15" s="52">
        <f>HSD!P23</f>
        <v>0</v>
      </c>
      <c r="E15" s="52">
        <f>HSD!Q23</f>
        <v>0</v>
      </c>
      <c r="F15" s="52">
        <f>HSD!R23</f>
        <v>0</v>
      </c>
      <c r="G15" s="52">
        <f>HSD!S23</f>
        <v>0</v>
      </c>
      <c r="H15" s="52">
        <f>HSD!T23</f>
        <v>0</v>
      </c>
      <c r="I15" s="52">
        <f>HSD!U23</f>
        <v>1.4219422000000002</v>
      </c>
      <c r="J15" s="52">
        <f>HSD!V23</f>
        <v>0</v>
      </c>
      <c r="K15" s="52">
        <f>HSD!W23</f>
        <v>1.1911592</v>
      </c>
      <c r="L15" s="52">
        <f>HSD!X23</f>
        <v>159.55479539999999</v>
      </c>
      <c r="M15" s="52">
        <f>HSD!Y23</f>
        <v>223.5125956</v>
      </c>
    </row>
    <row r="16" spans="2:13" x14ac:dyDescent="0.3">
      <c r="B16" t="str">
        <f>HSD!N24</f>
        <v>Summa</v>
      </c>
      <c r="C16" s="52">
        <f>HSD!O24</f>
        <v>181.04731400000009</v>
      </c>
      <c r="D16" s="52">
        <f>HSD!P24</f>
        <v>547.08724000000029</v>
      </c>
      <c r="E16" s="52">
        <f>HSD!Q24</f>
        <v>97.401027500000041</v>
      </c>
      <c r="F16" s="52">
        <f>HSD!R24</f>
        <v>3.9986506000000035</v>
      </c>
      <c r="G16" s="52">
        <f>HSD!S24</f>
        <v>93.097382700000068</v>
      </c>
      <c r="H16" s="52">
        <f>HSD!T24</f>
        <v>88.384035600000033</v>
      </c>
      <c r="I16" s="52">
        <f>HSD!U24</f>
        <v>132.62702110000004</v>
      </c>
      <c r="J16" s="52">
        <f>HSD!V24</f>
        <v>121.52719600000006</v>
      </c>
      <c r="K16" s="52">
        <f>HSD!W24</f>
        <v>154.76378470000006</v>
      </c>
      <c r="L16" s="52">
        <f>HSD!X24</f>
        <v>305.64038120000009</v>
      </c>
      <c r="M16" s="52">
        <f>HSD!Y24</f>
        <v>1725.5740334000009</v>
      </c>
    </row>
    <row r="17" spans="2:13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</row>
    <row r="18" spans="2:13" x14ac:dyDescent="0.3">
      <c r="B18" s="61" t="s">
        <v>196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</row>
    <row r="19" spans="2:13" x14ac:dyDescent="0.3">
      <c r="C19" s="52" t="str">
        <f>IHD!P17</f>
        <v>Espoo</v>
      </c>
      <c r="D19" s="52" t="str">
        <f>IHD!Q17</f>
        <v>Helsinki</v>
      </c>
      <c r="E19" s="52" t="str">
        <f>IHD!R17</f>
        <v>Jyvaskyla</v>
      </c>
      <c r="F19" s="52" t="s">
        <v>28</v>
      </c>
      <c r="G19" s="52" t="str">
        <f>IHD!T17</f>
        <v>Kuopio</v>
      </c>
      <c r="H19" s="52" t="str">
        <f>IHD!U17</f>
        <v>Lahti</v>
      </c>
      <c r="I19" s="52" t="str">
        <f>IHD!V17</f>
        <v>Oulu</v>
      </c>
      <c r="J19" s="52" t="str">
        <f>IHD!W17</f>
        <v>Tampere</v>
      </c>
      <c r="K19" s="52" t="str">
        <f>IHD!X17</f>
        <v>Turku</v>
      </c>
      <c r="L19" s="52" t="str">
        <f>IHD!Y17</f>
        <v>Vantaa</v>
      </c>
      <c r="M19" s="52" t="str">
        <f>IHD!Z17</f>
        <v>Sum</v>
      </c>
    </row>
    <row r="20" spans="2:13" x14ac:dyDescent="0.3">
      <c r="B20" t="str">
        <f>IHD!O18</f>
        <v>DALY</v>
      </c>
      <c r="C20" s="52">
        <f>IHD!P18</f>
        <v>7.6884301062909133</v>
      </c>
      <c r="D20" s="52">
        <f>IHD!Q18</f>
        <v>65.655060994389132</v>
      </c>
      <c r="E20" s="52">
        <f>IHD!R18</f>
        <v>8.844446507848815</v>
      </c>
      <c r="F20" s="59">
        <f>IHD!S18</f>
        <v>0.1980843419068061</v>
      </c>
      <c r="G20" s="52">
        <f>IHD!T18</f>
        <v>10.09290075069679</v>
      </c>
      <c r="H20" s="52">
        <f>IHD!U18</f>
        <v>10.676811485535794</v>
      </c>
      <c r="I20" s="52">
        <f>IHD!V18</f>
        <v>7.5694465913561695</v>
      </c>
      <c r="J20" s="52">
        <f>IHD!W18</f>
        <v>10.307103346485224</v>
      </c>
      <c r="K20" s="52">
        <f>IHD!X18</f>
        <v>26.972409888253338</v>
      </c>
      <c r="L20" s="52">
        <f>IHD!Y18</f>
        <v>8.283855873418231</v>
      </c>
      <c r="M20" s="52">
        <f>IHD!Z18</f>
        <v>156.28854988618119</v>
      </c>
    </row>
    <row r="21" spans="2:13" x14ac:dyDescent="0.3">
      <c r="B21" t="str">
        <f>IHD!O19</f>
        <v>YLL</v>
      </c>
      <c r="C21" s="52">
        <f>IHD!P19</f>
        <v>7.2333800197209746</v>
      </c>
      <c r="D21" s="52">
        <f>IHD!Q19</f>
        <v>61.83847550741789</v>
      </c>
      <c r="E21" s="52">
        <f>IHD!R19</f>
        <v>8.3311962752166142</v>
      </c>
      <c r="F21" s="59">
        <f>IHD!S19</f>
        <v>0.18663722266593566</v>
      </c>
      <c r="G21" s="52">
        <f>IHD!T19</f>
        <v>9.5124442066614634</v>
      </c>
      <c r="H21" s="52">
        <f>IHD!U19</f>
        <v>10.057850279366722</v>
      </c>
      <c r="I21" s="52">
        <f>IHD!V19</f>
        <v>7.128643514218366</v>
      </c>
      <c r="J21" s="52">
        <f>IHD!W19</f>
        <v>9.7128714761024302</v>
      </c>
      <c r="K21" s="52">
        <f>IHD!X19</f>
        <v>25.426334412477235</v>
      </c>
      <c r="L21" s="52">
        <f>IHD!Y19</f>
        <v>7.7924224442718062</v>
      </c>
      <c r="M21" s="52">
        <f>IHD!Z19</f>
        <v>147.22025535811943</v>
      </c>
    </row>
    <row r="22" spans="2:13" x14ac:dyDescent="0.3">
      <c r="B22" t="str">
        <f>IHD!O20</f>
        <v>YLD</v>
      </c>
      <c r="C22" s="52">
        <f>IHD!P20</f>
        <v>0.45505008656987361</v>
      </c>
      <c r="D22" s="52">
        <f>IHD!Q20</f>
        <v>3.8165854869705136</v>
      </c>
      <c r="E22" s="52">
        <f>IHD!R20</f>
        <v>0.51325023263209935</v>
      </c>
      <c r="F22" s="59">
        <f>IHD!S20</f>
        <v>1.1447119240867522E-2</v>
      </c>
      <c r="G22" s="52">
        <f>IHD!T20</f>
        <v>0.58045654403519653</v>
      </c>
      <c r="H22" s="52">
        <f>IHD!U20</f>
        <v>0.61896120616894446</v>
      </c>
      <c r="I22" s="52">
        <f>IHD!V20</f>
        <v>0.44080307713772138</v>
      </c>
      <c r="J22" s="52">
        <f>IHD!W20</f>
        <v>0.59423187038265946</v>
      </c>
      <c r="K22" s="52">
        <f>IHD!X20</f>
        <v>1.5460754757757513</v>
      </c>
      <c r="L22" s="52">
        <f>IHD!Y20</f>
        <v>0.49143342914635696</v>
      </c>
      <c r="M22" s="52">
        <f>IHD!Z20</f>
        <v>9.0682945280599832</v>
      </c>
    </row>
    <row r="23" spans="2:13" x14ac:dyDescent="0.3">
      <c r="B23" t="str">
        <f>IHD!O21</f>
        <v>Deaths</v>
      </c>
      <c r="C23" s="52">
        <f>IHD!P21</f>
        <v>0.53343697947377677</v>
      </c>
      <c r="D23" s="52">
        <f>IHD!Q21</f>
        <v>4.9824085745289661</v>
      </c>
      <c r="E23" s="52">
        <f>IHD!R21</f>
        <v>0.67069320581701841</v>
      </c>
      <c r="F23" s="59">
        <f>IHD!S21</f>
        <v>1.5944819136814548E-2</v>
      </c>
      <c r="G23" s="52">
        <f>IHD!T21</f>
        <v>0.78246007743016632</v>
      </c>
      <c r="H23" s="52">
        <f>IHD!U21</f>
        <v>0.8263447226851901</v>
      </c>
      <c r="I23" s="52">
        <f>IHD!V21</f>
        <v>0.55782188516270559</v>
      </c>
      <c r="J23" s="52">
        <f>IHD!W21</f>
        <v>0.8150281955736679</v>
      </c>
      <c r="K23" s="52">
        <f>IHD!X21</f>
        <v>2.1872386040587721</v>
      </c>
      <c r="L23" s="52">
        <f>IHD!Y21</f>
        <v>0.56559126830051942</v>
      </c>
      <c r="M23" s="52">
        <f>IHD!Z21</f>
        <v>11.936968332167597</v>
      </c>
    </row>
    <row r="25" spans="2:13" x14ac:dyDescent="0.3">
      <c r="B25" s="61" t="s">
        <v>198</v>
      </c>
    </row>
    <row r="26" spans="2:13" x14ac:dyDescent="0.3">
      <c r="C26" t="s">
        <v>24</v>
      </c>
      <c r="D26" t="s">
        <v>26</v>
      </c>
      <c r="E26" t="s">
        <v>27</v>
      </c>
      <c r="F26" t="s">
        <v>28</v>
      </c>
      <c r="G26" t="s">
        <v>30</v>
      </c>
      <c r="H26" t="s">
        <v>31</v>
      </c>
      <c r="I26" t="s">
        <v>32</v>
      </c>
      <c r="J26" t="s">
        <v>33</v>
      </c>
      <c r="K26" t="s">
        <v>34</v>
      </c>
      <c r="L26" t="s">
        <v>35</v>
      </c>
      <c r="M26" t="s">
        <v>53</v>
      </c>
    </row>
    <row r="27" spans="2:13" x14ac:dyDescent="0.3">
      <c r="B27" t="s">
        <v>44</v>
      </c>
      <c r="C27" s="52">
        <f t="shared" ref="C27:M27" si="0">C6+C13+C$20</f>
        <v>235.10248870629101</v>
      </c>
      <c r="D27" s="52">
        <f t="shared" si="0"/>
        <v>931.72731323138953</v>
      </c>
      <c r="E27" s="52">
        <f t="shared" si="0"/>
        <v>165.4849573078489</v>
      </c>
      <c r="F27" s="52">
        <f t="shared" si="0"/>
        <v>7.6348737419068096</v>
      </c>
      <c r="G27" s="52">
        <f t="shared" si="0"/>
        <v>170.71342835069689</v>
      </c>
      <c r="H27" s="52">
        <f t="shared" si="0"/>
        <v>127.36846308553585</v>
      </c>
      <c r="I27" s="52">
        <f t="shared" si="0"/>
        <v>178.54271042835623</v>
      </c>
      <c r="J27" s="52">
        <f t="shared" si="0"/>
        <v>175.88218234648531</v>
      </c>
      <c r="K27" s="52">
        <f t="shared" si="0"/>
        <v>298.80751388825342</v>
      </c>
      <c r="L27" s="52">
        <f t="shared" si="0"/>
        <v>253.67960387341836</v>
      </c>
      <c r="M27" s="52">
        <f t="shared" si="0"/>
        <v>2544.9435349601818</v>
      </c>
    </row>
    <row r="28" spans="2:13" x14ac:dyDescent="0.3">
      <c r="B28" t="s">
        <v>45</v>
      </c>
      <c r="C28" s="52">
        <f t="shared" ref="C28:M28" si="1">C7+C14</f>
        <v>1.5059428499999998</v>
      </c>
      <c r="D28" s="52">
        <f t="shared" si="1"/>
        <v>98.6322349</v>
      </c>
      <c r="E28" s="52">
        <f t="shared" si="1"/>
        <v>10.350351700000001</v>
      </c>
      <c r="F28" s="52">
        <f t="shared" si="1"/>
        <v>0.47521869999999999</v>
      </c>
      <c r="G28" s="52">
        <f t="shared" si="1"/>
        <v>2.59445835</v>
      </c>
      <c r="H28" s="52">
        <f t="shared" si="1"/>
        <v>33.087449750000005</v>
      </c>
      <c r="I28" s="52">
        <f t="shared" si="1"/>
        <v>52.733365949999992</v>
      </c>
      <c r="J28" s="52">
        <f t="shared" si="1"/>
        <v>48.731225386250003</v>
      </c>
      <c r="K28" s="52">
        <f t="shared" si="1"/>
        <v>3.4884634999999999</v>
      </c>
      <c r="L28" s="52">
        <f t="shared" si="1"/>
        <v>15.027380299999999</v>
      </c>
      <c r="M28" s="52">
        <f t="shared" si="1"/>
        <v>266.62609138624998</v>
      </c>
    </row>
    <row r="29" spans="2:13" x14ac:dyDescent="0.3">
      <c r="B29" t="s">
        <v>46</v>
      </c>
      <c r="C29" s="52">
        <f t="shared" ref="C29:M29" si="2">C8+C15</f>
        <v>62.380301499999995</v>
      </c>
      <c r="D29" s="52">
        <f t="shared" si="2"/>
        <v>0</v>
      </c>
      <c r="E29" s="52">
        <f t="shared" si="2"/>
        <v>0</v>
      </c>
      <c r="F29" s="52">
        <f t="shared" si="2"/>
        <v>0</v>
      </c>
      <c r="G29" s="52">
        <f t="shared" si="2"/>
        <v>0</v>
      </c>
      <c r="H29" s="52">
        <f t="shared" si="2"/>
        <v>0</v>
      </c>
      <c r="I29" s="52">
        <f t="shared" si="2"/>
        <v>2.35714515</v>
      </c>
      <c r="J29" s="52">
        <f t="shared" si="2"/>
        <v>0</v>
      </c>
      <c r="K29" s="52">
        <f t="shared" si="2"/>
        <v>2.8026644250000001</v>
      </c>
      <c r="L29" s="52">
        <f t="shared" si="2"/>
        <v>201.35911564999998</v>
      </c>
      <c r="M29" s="52">
        <f t="shared" si="2"/>
        <v>268.89922672500001</v>
      </c>
    </row>
    <row r="30" spans="2:13" x14ac:dyDescent="0.3">
      <c r="B30" t="s">
        <v>53</v>
      </c>
      <c r="C30" s="52">
        <f>SUM(C27:C29)</f>
        <v>298.98873305629098</v>
      </c>
      <c r="D30" s="52">
        <f t="shared" ref="D30:M30" si="3">SUM(D27:D29)</f>
        <v>1030.3595481313896</v>
      </c>
      <c r="E30" s="52">
        <f t="shared" si="3"/>
        <v>175.83530900784891</v>
      </c>
      <c r="F30" s="52">
        <f t="shared" si="3"/>
        <v>8.1100924419068097</v>
      </c>
      <c r="G30" s="52">
        <f t="shared" si="3"/>
        <v>173.30788670069688</v>
      </c>
      <c r="H30" s="52">
        <f t="shared" si="3"/>
        <v>160.45591283553586</v>
      </c>
      <c r="I30" s="52">
        <f t="shared" si="3"/>
        <v>233.63322152835622</v>
      </c>
      <c r="J30" s="52">
        <f t="shared" si="3"/>
        <v>224.61340773273531</v>
      </c>
      <c r="K30" s="52">
        <f t="shared" si="3"/>
        <v>305.09864181325344</v>
      </c>
      <c r="L30" s="52">
        <f t="shared" si="3"/>
        <v>470.06609982341831</v>
      </c>
      <c r="M30" s="52">
        <f t="shared" si="3"/>
        <v>3080.4688530714316</v>
      </c>
    </row>
    <row r="32" spans="2:13" x14ac:dyDescent="0.3">
      <c r="B32" s="61" t="s">
        <v>197</v>
      </c>
    </row>
    <row r="33" spans="2:8" x14ac:dyDescent="0.3">
      <c r="C33" t="s">
        <v>90</v>
      </c>
      <c r="D33" t="s">
        <v>91</v>
      </c>
      <c r="E33" t="s">
        <v>153</v>
      </c>
      <c r="F33" t="s">
        <v>53</v>
      </c>
    </row>
    <row r="34" spans="2:8" x14ac:dyDescent="0.3">
      <c r="B34" t="s">
        <v>83</v>
      </c>
      <c r="C34" s="52">
        <f>M6</f>
        <v>1057.1881742740002</v>
      </c>
      <c r="D34" s="52">
        <f>M13</f>
        <v>1331.4668108000005</v>
      </c>
      <c r="E34" s="52">
        <f>M20</f>
        <v>156.28854988618119</v>
      </c>
      <c r="F34" s="52">
        <f>SUM(C34:E34)</f>
        <v>2544.9435349601818</v>
      </c>
      <c r="H34" s="85"/>
    </row>
    <row r="35" spans="2:8" x14ac:dyDescent="0.3">
      <c r="B35" t="s">
        <v>84</v>
      </c>
      <c r="C35" s="52">
        <f>M7</f>
        <v>96.031464386249979</v>
      </c>
      <c r="D35" s="52">
        <f>M14</f>
        <v>170.594627</v>
      </c>
      <c r="E35">
        <v>0</v>
      </c>
      <c r="F35" s="52">
        <f t="shared" ref="F35:F37" si="4">SUM(C35:E35)</f>
        <v>266.62609138624998</v>
      </c>
      <c r="H35" s="85"/>
    </row>
    <row r="36" spans="2:8" x14ac:dyDescent="0.3">
      <c r="B36" t="s">
        <v>151</v>
      </c>
      <c r="C36" s="52">
        <f>M8</f>
        <v>45.386631125000001</v>
      </c>
      <c r="D36" s="52">
        <f>M15</f>
        <v>223.5125956</v>
      </c>
      <c r="E36">
        <v>0</v>
      </c>
      <c r="F36" s="52">
        <f t="shared" si="4"/>
        <v>268.89922672500001</v>
      </c>
      <c r="H36" s="85"/>
    </row>
    <row r="37" spans="2:8" x14ac:dyDescent="0.3">
      <c r="B37" t="s">
        <v>53</v>
      </c>
      <c r="C37" s="52">
        <f>SUM(C34:C36)</f>
        <v>1198.6062697852501</v>
      </c>
      <c r="D37" s="52">
        <f>SUM(D34:D36)</f>
        <v>1725.5740334000004</v>
      </c>
      <c r="E37" s="52">
        <f>SUM(E34:E36)</f>
        <v>156.28854988618119</v>
      </c>
      <c r="F37" s="52">
        <f t="shared" si="4"/>
        <v>3080.4688530714316</v>
      </c>
      <c r="H37" s="90"/>
    </row>
    <row r="75" spans="7:7" x14ac:dyDescent="0.3">
      <c r="G75" s="52"/>
    </row>
    <row r="76" spans="7:7" x14ac:dyDescent="0.3">
      <c r="G76" s="52"/>
    </row>
    <row r="77" spans="7:7" x14ac:dyDescent="0.3">
      <c r="G77" s="52"/>
    </row>
    <row r="78" spans="7:7" x14ac:dyDescent="0.3">
      <c r="G78" s="52"/>
    </row>
    <row r="79" spans="7:7" x14ac:dyDescent="0.3">
      <c r="G79" s="52"/>
    </row>
    <row r="80" spans="7:7" x14ac:dyDescent="0.3">
      <c r="G80" s="52"/>
    </row>
    <row r="81" spans="7:7" x14ac:dyDescent="0.3">
      <c r="G81" s="52"/>
    </row>
    <row r="82" spans="7:7" x14ac:dyDescent="0.3">
      <c r="G82" s="52"/>
    </row>
    <row r="83" spans="7:7" x14ac:dyDescent="0.3">
      <c r="G83" s="52"/>
    </row>
    <row r="84" spans="7:7" x14ac:dyDescent="0.3">
      <c r="G84" s="52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EEA data</vt:lpstr>
      <vt:lpstr>Helsinki-Vantaa</vt:lpstr>
      <vt:lpstr>Altistus</vt:lpstr>
      <vt:lpstr>HA</vt:lpstr>
      <vt:lpstr>HSD</vt:lpstr>
      <vt:lpstr>IHD</vt:lpstr>
      <vt:lpstr>Tautitaakka</vt:lpstr>
    </vt:vector>
  </TitlesOfParts>
  <Company>THL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Lehtomäki Heli</dc:creator>
  <cp:lastModifiedBy>Lehtomäki Heli</cp:lastModifiedBy>
  <dcterms:created xsi:type="dcterms:W3CDTF">2020-06-26T13:28:07Z</dcterms:created>
  <dcterms:modified xsi:type="dcterms:W3CDTF">2021-04-11T18:46:57Z</dcterms:modified>
</cp:coreProperties>
</file>